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1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zelandi\Downloads\"/>
    </mc:Choice>
  </mc:AlternateContent>
  <xr:revisionPtr revIDLastSave="0" documentId="13_ncr:40009_{22441228-34D6-49BB-AA2F-0F1001E5C016}" xr6:coauthVersionLast="47" xr6:coauthVersionMax="47" xr10:uidLastSave="{00000000-0000-0000-0000-000000000000}"/>
  <bookViews>
    <workbookView xWindow="28680" yWindow="-120" windowWidth="29040" windowHeight="15720"/>
  </bookViews>
  <sheets>
    <sheet name="attodigara" sheetId="1" r:id="rId1"/>
  </sheets>
  <calcPr calcId="0"/>
</workbook>
</file>

<file path=xl/calcChain.xml><?xml version="1.0" encoding="utf-8"?>
<calcChain xmlns="http://schemas.openxmlformats.org/spreadsheetml/2006/main">
  <c r="K1253" i="1" l="1"/>
  <c r="K1913" i="1"/>
  <c r="K1909" i="1"/>
  <c r="L1908" i="1"/>
  <c r="K1908" i="1"/>
  <c r="L1907" i="1"/>
  <c r="K1907" i="1"/>
  <c r="L1906" i="1"/>
  <c r="K1906" i="1"/>
  <c r="L1905" i="1"/>
  <c r="K1905" i="1"/>
  <c r="L1904" i="1"/>
  <c r="K1904" i="1"/>
  <c r="L1903" i="1"/>
  <c r="K1903" i="1"/>
  <c r="L1898" i="1"/>
  <c r="K1898" i="1"/>
  <c r="L1897" i="1"/>
  <c r="K1897" i="1"/>
  <c r="L1896" i="1"/>
  <c r="K1896" i="1"/>
  <c r="L1895" i="1"/>
  <c r="K1895" i="1"/>
  <c r="L1892" i="1"/>
  <c r="K1892" i="1"/>
  <c r="L1891" i="1"/>
  <c r="K1891" i="1"/>
  <c r="L1883" i="1"/>
  <c r="K1883" i="1"/>
  <c r="K1882" i="1"/>
  <c r="K1878" i="1"/>
  <c r="L1877" i="1"/>
  <c r="K1877" i="1"/>
  <c r="L1876" i="1"/>
  <c r="K1876" i="1"/>
  <c r="L1875" i="1"/>
  <c r="K1875" i="1"/>
  <c r="L1874" i="1"/>
  <c r="K1874" i="1"/>
  <c r="L1873" i="1"/>
  <c r="K1873" i="1"/>
  <c r="L1872" i="1"/>
  <c r="K1872" i="1"/>
  <c r="K1871" i="1"/>
  <c r="K1870" i="1"/>
  <c r="L1867" i="1"/>
  <c r="K1867" i="1"/>
  <c r="L1866" i="1"/>
  <c r="K1866" i="1"/>
  <c r="K1865" i="1"/>
  <c r="K1864" i="1"/>
  <c r="L1863" i="1"/>
  <c r="K1863" i="1"/>
  <c r="K1862" i="1"/>
  <c r="L1861" i="1"/>
  <c r="K1861" i="1"/>
  <c r="L1860" i="1"/>
  <c r="K1860" i="1"/>
  <c r="L1859" i="1"/>
  <c r="K1859" i="1"/>
  <c r="K1845" i="1"/>
  <c r="K1844" i="1"/>
  <c r="K1843" i="1"/>
  <c r="K1842" i="1"/>
  <c r="L1835" i="1"/>
  <c r="K1835" i="1"/>
  <c r="L1834" i="1"/>
  <c r="K1834" i="1"/>
  <c r="K1833" i="1"/>
  <c r="L1832" i="1"/>
  <c r="K1832" i="1"/>
  <c r="L1831" i="1"/>
  <c r="K1831" i="1"/>
  <c r="L1829" i="1"/>
  <c r="K1829" i="1"/>
  <c r="K1825" i="1"/>
  <c r="L1824" i="1"/>
  <c r="K1824" i="1"/>
  <c r="L1823" i="1"/>
  <c r="K1823" i="1"/>
  <c r="L1822" i="1"/>
  <c r="K1822" i="1"/>
  <c r="L1821" i="1"/>
  <c r="K1821" i="1"/>
  <c r="L1820" i="1"/>
  <c r="K1820" i="1"/>
  <c r="L1819" i="1"/>
  <c r="K1819" i="1"/>
  <c r="L1814" i="1"/>
  <c r="K1814" i="1"/>
  <c r="L1813" i="1"/>
  <c r="K1813" i="1"/>
  <c r="L1812" i="1"/>
  <c r="K1812" i="1"/>
  <c r="L1808" i="1"/>
  <c r="K1808" i="1"/>
  <c r="L1807" i="1"/>
  <c r="K1807" i="1"/>
  <c r="L1806" i="1"/>
  <c r="K1806" i="1"/>
  <c r="L1798" i="1"/>
  <c r="K1798" i="1"/>
  <c r="L1797" i="1"/>
  <c r="K1797" i="1"/>
  <c r="L1796" i="1"/>
  <c r="K1796" i="1"/>
  <c r="L1795" i="1"/>
  <c r="K1795" i="1"/>
  <c r="L1794" i="1"/>
  <c r="K1794" i="1"/>
  <c r="L1793" i="1"/>
  <c r="K1793" i="1"/>
  <c r="K1788" i="1"/>
  <c r="L1787" i="1"/>
  <c r="K1787" i="1"/>
  <c r="L1786" i="1"/>
  <c r="K1786" i="1"/>
  <c r="L1785" i="1"/>
  <c r="K1785" i="1"/>
  <c r="L1784" i="1"/>
  <c r="K1784" i="1"/>
  <c r="L1783" i="1"/>
  <c r="K1783" i="1"/>
  <c r="L1780" i="1"/>
  <c r="K1780" i="1"/>
  <c r="L1779" i="1"/>
  <c r="K1779" i="1"/>
  <c r="L1778" i="1"/>
  <c r="K1778" i="1"/>
  <c r="L1777" i="1"/>
  <c r="K1777" i="1"/>
  <c r="K1776" i="1"/>
  <c r="K1775" i="1"/>
  <c r="K1774" i="1"/>
  <c r="K1773" i="1"/>
  <c r="K1772" i="1"/>
  <c r="K1771" i="1"/>
  <c r="L1762" i="1"/>
  <c r="K1762" i="1"/>
  <c r="K1761" i="1"/>
  <c r="L1760" i="1"/>
  <c r="K1760" i="1"/>
  <c r="L1756" i="1"/>
  <c r="K1756" i="1"/>
  <c r="L1755" i="1"/>
  <c r="K1755" i="1"/>
  <c r="L1754" i="1"/>
  <c r="K1754" i="1"/>
  <c r="L1753" i="1"/>
  <c r="K1753" i="1"/>
  <c r="L1752" i="1"/>
  <c r="K1752" i="1"/>
  <c r="L1751" i="1"/>
  <c r="K1751" i="1"/>
  <c r="L1750" i="1"/>
  <c r="K1750" i="1"/>
  <c r="L1747" i="1"/>
  <c r="K1747" i="1"/>
  <c r="L1746" i="1"/>
  <c r="K1746" i="1"/>
  <c r="L1745" i="1"/>
  <c r="K1745" i="1"/>
  <c r="L1744" i="1"/>
  <c r="K1744" i="1"/>
  <c r="L1743" i="1"/>
  <c r="K1743" i="1"/>
  <c r="L1742" i="1"/>
  <c r="K1742" i="1"/>
  <c r="L1741" i="1"/>
  <c r="K1741" i="1"/>
  <c r="L1740" i="1"/>
  <c r="K1740" i="1"/>
  <c r="K1735" i="1"/>
  <c r="L1730" i="1"/>
  <c r="K1730" i="1"/>
  <c r="L1729" i="1"/>
  <c r="K1729" i="1"/>
  <c r="L1728" i="1"/>
  <c r="K1728" i="1"/>
  <c r="L1727" i="1"/>
  <c r="K1727" i="1"/>
  <c r="K1723" i="1"/>
  <c r="L1722" i="1"/>
  <c r="K1722" i="1"/>
  <c r="L1721" i="1"/>
  <c r="K1721" i="1"/>
  <c r="K1720" i="1"/>
  <c r="L1719" i="1"/>
  <c r="K1719" i="1"/>
  <c r="L1718" i="1"/>
  <c r="K1718" i="1"/>
  <c r="L1717" i="1"/>
  <c r="K1717" i="1"/>
  <c r="K1715" i="1"/>
  <c r="K1709" i="1"/>
  <c r="K1708" i="1"/>
  <c r="K1707" i="1"/>
  <c r="K1702" i="1"/>
  <c r="K1701" i="1"/>
  <c r="L1700" i="1"/>
  <c r="K1700" i="1"/>
  <c r="K1699" i="1"/>
  <c r="L1698" i="1"/>
  <c r="K1698" i="1"/>
  <c r="K1697" i="1"/>
  <c r="L1696" i="1"/>
  <c r="K1696" i="1"/>
  <c r="L1695" i="1"/>
  <c r="K1695" i="1"/>
  <c r="L1694" i="1"/>
  <c r="K1694" i="1"/>
  <c r="K1675" i="1"/>
  <c r="K1674" i="1"/>
  <c r="L1673" i="1"/>
  <c r="K1673" i="1"/>
  <c r="L1672" i="1"/>
  <c r="K1672" i="1"/>
  <c r="L1671" i="1"/>
  <c r="K1671" i="1"/>
  <c r="L1670" i="1"/>
  <c r="K1670" i="1"/>
  <c r="L1669" i="1"/>
  <c r="K1669" i="1"/>
  <c r="L1668" i="1"/>
  <c r="K1668" i="1"/>
  <c r="L1667" i="1"/>
  <c r="K1667" i="1"/>
  <c r="L1662" i="1"/>
  <c r="K1662" i="1"/>
  <c r="L1661" i="1"/>
  <c r="K1661" i="1"/>
  <c r="L1660" i="1"/>
  <c r="K1660" i="1"/>
  <c r="L1659" i="1"/>
  <c r="K1659" i="1"/>
  <c r="L1658" i="1"/>
  <c r="K1658" i="1"/>
  <c r="L1657" i="1"/>
  <c r="K1657" i="1"/>
  <c r="L1655" i="1"/>
  <c r="K1655" i="1"/>
  <c r="L1654" i="1"/>
  <c r="K1654" i="1"/>
  <c r="L1653" i="1"/>
  <c r="K1653" i="1"/>
  <c r="L1652" i="1"/>
  <c r="K1652" i="1"/>
  <c r="L1651" i="1"/>
  <c r="K1651" i="1"/>
  <c r="L1650" i="1"/>
  <c r="K1650" i="1"/>
  <c r="L1649" i="1"/>
  <c r="K1649" i="1"/>
  <c r="L1643" i="1"/>
  <c r="K1643" i="1"/>
  <c r="L1634" i="1"/>
  <c r="K1634" i="1"/>
  <c r="K1633" i="1"/>
  <c r="K1632" i="1"/>
  <c r="K1631" i="1"/>
  <c r="L1630" i="1"/>
  <c r="K1630" i="1"/>
  <c r="L1629" i="1"/>
  <c r="K1629" i="1"/>
  <c r="L1628" i="1"/>
  <c r="K1628" i="1"/>
  <c r="L1625" i="1"/>
  <c r="K1625" i="1"/>
  <c r="L1624" i="1"/>
  <c r="K1624" i="1"/>
  <c r="L1623" i="1"/>
  <c r="K1623" i="1"/>
  <c r="L1622" i="1"/>
  <c r="K1622" i="1"/>
  <c r="K1621" i="1"/>
  <c r="L1614" i="1"/>
  <c r="K1614" i="1"/>
  <c r="K1613" i="1"/>
  <c r="L1612" i="1"/>
  <c r="K1612" i="1"/>
  <c r="L1611" i="1"/>
  <c r="K1611" i="1"/>
  <c r="L1607" i="1"/>
  <c r="K1607" i="1"/>
  <c r="L1606" i="1"/>
  <c r="K1606" i="1"/>
  <c r="L1605" i="1"/>
  <c r="K1605" i="1"/>
  <c r="L1604" i="1"/>
  <c r="K1604" i="1"/>
  <c r="L1603" i="1"/>
  <c r="K1603" i="1"/>
  <c r="L1602" i="1"/>
  <c r="K1602" i="1"/>
  <c r="L1601" i="1"/>
  <c r="K1601" i="1"/>
  <c r="K1599" i="1"/>
  <c r="L1598" i="1"/>
  <c r="K1598" i="1"/>
  <c r="L1597" i="1"/>
  <c r="K1597" i="1"/>
  <c r="L1596" i="1"/>
  <c r="K1596" i="1"/>
  <c r="L1595" i="1"/>
  <c r="K1595" i="1"/>
  <c r="L1594" i="1"/>
  <c r="K1594" i="1"/>
  <c r="L1593" i="1"/>
  <c r="K1593" i="1"/>
  <c r="L1588" i="1"/>
  <c r="K1588" i="1"/>
  <c r="L1587" i="1"/>
  <c r="K1587" i="1"/>
  <c r="L1586" i="1"/>
  <c r="K1586" i="1"/>
  <c r="L1585" i="1"/>
  <c r="K1585" i="1"/>
  <c r="L1584" i="1"/>
  <c r="K1584" i="1"/>
  <c r="K1574" i="1"/>
  <c r="L1573" i="1"/>
  <c r="K1573" i="1"/>
  <c r="L1572" i="1"/>
  <c r="K1572" i="1"/>
  <c r="L1571" i="1"/>
  <c r="K1571" i="1"/>
  <c r="L1570" i="1"/>
  <c r="K1570" i="1"/>
  <c r="K1566" i="1"/>
  <c r="K1565" i="1"/>
  <c r="L1564" i="1"/>
  <c r="K1564" i="1"/>
  <c r="K1556" i="1"/>
  <c r="K1555" i="1"/>
  <c r="K1554" i="1"/>
  <c r="K1553" i="1"/>
  <c r="K1552" i="1"/>
  <c r="K1551" i="1"/>
  <c r="L1549" i="1"/>
  <c r="K1549" i="1"/>
  <c r="L1548" i="1"/>
  <c r="K1548" i="1"/>
  <c r="L1547" i="1"/>
  <c r="K1547" i="1"/>
  <c r="L1546" i="1"/>
  <c r="K1546" i="1"/>
  <c r="K1545" i="1"/>
  <c r="L1544" i="1"/>
  <c r="K1544" i="1"/>
  <c r="L1543" i="1"/>
  <c r="K1543" i="1"/>
  <c r="L1542" i="1"/>
  <c r="K1542" i="1"/>
  <c r="L1526" i="1"/>
  <c r="K1526" i="1"/>
  <c r="L1525" i="1"/>
  <c r="K1525" i="1"/>
  <c r="L1524" i="1"/>
  <c r="K1524" i="1"/>
  <c r="L1523" i="1"/>
  <c r="K1523" i="1"/>
  <c r="K1522" i="1"/>
  <c r="L1518" i="1"/>
  <c r="K1518" i="1"/>
  <c r="L1517" i="1"/>
  <c r="K1517" i="1"/>
  <c r="L1516" i="1"/>
  <c r="K1516" i="1"/>
  <c r="L1508" i="1"/>
  <c r="K1508" i="1"/>
  <c r="L1507" i="1"/>
  <c r="K1507" i="1"/>
  <c r="K1503" i="1"/>
  <c r="K1502" i="1"/>
  <c r="K1501" i="1"/>
  <c r="K1500" i="1"/>
  <c r="L1499" i="1"/>
  <c r="K1499" i="1"/>
  <c r="L1498" i="1"/>
  <c r="K1498" i="1"/>
  <c r="K1497" i="1"/>
  <c r="L1488" i="1"/>
  <c r="K1488" i="1"/>
  <c r="L1487" i="1"/>
  <c r="K1487" i="1"/>
  <c r="K1481" i="1"/>
  <c r="L1480" i="1"/>
  <c r="K1480" i="1"/>
  <c r="L1479" i="1"/>
  <c r="K1479" i="1"/>
  <c r="L1478" i="1"/>
  <c r="K1478" i="1"/>
  <c r="L1473" i="1"/>
  <c r="K1473" i="1"/>
  <c r="L1472" i="1"/>
  <c r="K1472" i="1"/>
  <c r="L1471" i="1"/>
  <c r="K1471" i="1"/>
  <c r="L1470" i="1"/>
  <c r="K1470" i="1"/>
  <c r="L1469" i="1"/>
  <c r="K1469" i="1"/>
  <c r="L1468" i="1"/>
  <c r="K1468" i="1"/>
  <c r="L1467" i="1"/>
  <c r="K1467" i="1"/>
  <c r="L1466" i="1"/>
  <c r="K1466" i="1"/>
  <c r="L1465" i="1"/>
  <c r="K1465" i="1"/>
  <c r="L1464" i="1"/>
  <c r="K1464" i="1"/>
  <c r="L1463" i="1"/>
  <c r="K1463" i="1"/>
  <c r="L1462" i="1"/>
  <c r="K1462" i="1"/>
  <c r="L1461" i="1"/>
  <c r="K1461" i="1"/>
  <c r="L1460" i="1"/>
  <c r="K1460" i="1"/>
  <c r="L1459" i="1"/>
  <c r="K1459" i="1"/>
  <c r="K1458" i="1"/>
  <c r="L1453" i="1"/>
  <c r="K1453" i="1"/>
  <c r="K1451" i="1"/>
  <c r="K1450" i="1"/>
  <c r="K1442" i="1"/>
  <c r="K1441" i="1"/>
  <c r="K1440" i="1"/>
  <c r="K1439" i="1"/>
  <c r="K1438" i="1"/>
  <c r="L1437" i="1"/>
  <c r="K1437" i="1"/>
  <c r="K1436" i="1"/>
  <c r="L1435" i="1"/>
  <c r="K1435" i="1"/>
  <c r="K1434" i="1"/>
  <c r="K1430" i="1"/>
  <c r="L1429" i="1"/>
  <c r="K1429" i="1"/>
  <c r="L1426" i="1"/>
  <c r="K1426" i="1"/>
  <c r="L1425" i="1"/>
  <c r="K1425" i="1"/>
  <c r="L1424" i="1"/>
  <c r="K1424" i="1"/>
  <c r="K1423" i="1"/>
  <c r="L1422" i="1"/>
  <c r="K1422" i="1"/>
  <c r="L1421" i="1"/>
  <c r="K1421" i="1"/>
  <c r="L1409" i="1"/>
  <c r="K1409" i="1"/>
  <c r="L1408" i="1"/>
  <c r="K1408" i="1"/>
  <c r="L1407" i="1"/>
  <c r="K1407" i="1"/>
  <c r="L1406" i="1"/>
  <c r="K1406" i="1"/>
  <c r="L1405" i="1"/>
  <c r="K1405" i="1"/>
  <c r="L1404" i="1"/>
  <c r="K1404" i="1"/>
  <c r="L1403" i="1"/>
  <c r="K1403" i="1"/>
  <c r="L1402" i="1"/>
  <c r="K1402" i="1"/>
  <c r="L1393" i="1"/>
  <c r="K1393" i="1"/>
  <c r="L1392" i="1"/>
  <c r="K1392" i="1"/>
  <c r="L1391" i="1"/>
  <c r="K1391" i="1"/>
  <c r="K1384" i="1"/>
  <c r="K1383" i="1"/>
  <c r="K1382" i="1"/>
  <c r="K1381" i="1"/>
  <c r="K1380" i="1"/>
  <c r="K1379" i="1"/>
  <c r="L1378" i="1"/>
  <c r="K1378" i="1"/>
  <c r="K1377" i="1"/>
  <c r="K1376" i="1"/>
  <c r="K1373" i="1"/>
  <c r="K1372" i="1"/>
  <c r="K1371" i="1"/>
  <c r="L1365" i="1"/>
  <c r="K1365" i="1"/>
  <c r="K1364" i="1"/>
  <c r="L1363" i="1"/>
  <c r="K1363" i="1"/>
  <c r="L1362" i="1"/>
  <c r="K1362" i="1"/>
  <c r="L1361" i="1"/>
  <c r="K1361" i="1"/>
  <c r="L1360" i="1"/>
  <c r="K1360" i="1"/>
  <c r="L1359" i="1"/>
  <c r="K1359" i="1"/>
  <c r="L1358" i="1"/>
  <c r="K1358" i="1"/>
  <c r="L1357" i="1"/>
  <c r="K1357" i="1"/>
  <c r="L1352" i="1"/>
  <c r="K1352" i="1"/>
  <c r="L1351" i="1"/>
  <c r="K1351" i="1"/>
  <c r="L1350" i="1"/>
  <c r="K1350" i="1"/>
  <c r="L1344" i="1"/>
  <c r="K1344" i="1"/>
  <c r="L1343" i="1"/>
  <c r="K1343" i="1"/>
  <c r="L1342" i="1"/>
  <c r="K1342" i="1"/>
  <c r="L1324" i="1"/>
  <c r="K1324" i="1"/>
  <c r="L1323" i="1"/>
  <c r="K1323" i="1"/>
  <c r="L1322" i="1"/>
  <c r="K1322" i="1"/>
  <c r="L1321" i="1"/>
  <c r="K1321" i="1"/>
  <c r="L1317" i="1"/>
  <c r="K1317" i="1"/>
  <c r="K1316" i="1"/>
  <c r="K1312" i="1"/>
  <c r="K1311" i="1"/>
  <c r="K1310" i="1"/>
  <c r="K1309" i="1"/>
  <c r="L1308" i="1"/>
  <c r="K1308" i="1"/>
  <c r="K1307" i="1"/>
  <c r="K1306" i="1"/>
  <c r="K1305" i="1"/>
  <c r="K1304" i="1"/>
  <c r="K1303" i="1"/>
  <c r="K1302" i="1"/>
  <c r="K1298" i="1"/>
  <c r="L1297" i="1"/>
  <c r="K1297" i="1"/>
  <c r="K1296" i="1"/>
  <c r="K1295" i="1"/>
  <c r="K1294" i="1"/>
  <c r="K1293" i="1"/>
  <c r="L1292" i="1"/>
  <c r="K1292" i="1"/>
  <c r="L1291" i="1"/>
  <c r="K1291" i="1"/>
  <c r="L1286" i="1"/>
  <c r="K1286" i="1"/>
  <c r="L1285" i="1"/>
  <c r="K1285" i="1"/>
  <c r="K1284" i="1"/>
  <c r="L1283" i="1"/>
  <c r="K1283" i="1"/>
  <c r="K1282" i="1"/>
  <c r="L1281" i="1"/>
  <c r="K1281" i="1"/>
  <c r="K1280" i="1"/>
  <c r="L1277" i="1"/>
  <c r="K1277" i="1"/>
  <c r="L1276" i="1"/>
  <c r="K1276" i="1"/>
  <c r="L1275" i="1"/>
  <c r="K1275" i="1"/>
  <c r="L1274" i="1"/>
  <c r="K1274" i="1"/>
  <c r="L1273" i="1"/>
  <c r="K1273" i="1"/>
  <c r="L1272" i="1"/>
  <c r="K1272" i="1"/>
  <c r="L1271" i="1"/>
  <c r="K1271" i="1"/>
  <c r="L1261" i="1"/>
  <c r="K1261" i="1"/>
  <c r="L1260" i="1"/>
  <c r="K1260" i="1"/>
  <c r="L1259" i="1"/>
  <c r="K1259" i="1"/>
  <c r="L1258" i="1"/>
  <c r="K1258" i="1"/>
  <c r="L1257" i="1"/>
  <c r="K1257" i="1"/>
  <c r="L1256" i="1"/>
  <c r="K1256" i="1"/>
  <c r="L1255" i="1"/>
  <c r="K1255" i="1"/>
  <c r="L1254" i="1"/>
  <c r="K1254" i="1"/>
  <c r="L1246" i="1"/>
  <c r="K1246" i="1"/>
  <c r="K1237" i="1"/>
  <c r="K1236" i="1"/>
  <c r="K1235" i="1"/>
  <c r="K1234" i="1"/>
  <c r="K1233" i="1"/>
  <c r="K1232" i="1"/>
  <c r="K1231" i="1"/>
  <c r="K1230" i="1"/>
  <c r="K1229" i="1"/>
  <c r="K1227" i="1"/>
  <c r="K1226" i="1"/>
  <c r="K1225" i="1"/>
  <c r="K1224" i="1"/>
  <c r="K1223" i="1"/>
  <c r="L1222" i="1"/>
  <c r="K1222" i="1"/>
  <c r="L1218" i="1"/>
  <c r="K1218" i="1"/>
  <c r="L1217" i="1"/>
  <c r="K1217" i="1"/>
  <c r="L1216" i="1"/>
  <c r="K1216" i="1"/>
  <c r="L1215" i="1"/>
  <c r="K1215" i="1"/>
  <c r="L1214" i="1"/>
  <c r="K1214" i="1"/>
  <c r="L1209" i="1"/>
  <c r="K1209" i="1"/>
  <c r="L1208" i="1"/>
  <c r="K1208" i="1"/>
  <c r="L1207" i="1"/>
  <c r="K1207" i="1"/>
  <c r="L1206" i="1"/>
  <c r="K1206" i="1"/>
  <c r="L1205" i="1"/>
  <c r="K1205" i="1"/>
  <c r="L1204" i="1"/>
  <c r="K1204" i="1"/>
  <c r="K1203" i="1"/>
  <c r="K1202" i="1"/>
  <c r="L1201" i="1"/>
  <c r="K1201" i="1"/>
  <c r="L1200" i="1"/>
  <c r="K1200" i="1"/>
  <c r="L1199" i="1"/>
  <c r="K1199" i="1"/>
  <c r="L1198" i="1"/>
  <c r="K1198" i="1"/>
  <c r="L1197" i="1"/>
  <c r="K1197" i="1"/>
  <c r="K1196" i="1"/>
  <c r="L1195" i="1"/>
  <c r="K1195" i="1"/>
  <c r="L1194" i="1"/>
  <c r="K1194" i="1"/>
  <c r="L1189" i="1"/>
  <c r="K1189" i="1"/>
  <c r="L1188" i="1"/>
  <c r="K1188" i="1"/>
  <c r="L1187" i="1"/>
  <c r="K1187" i="1"/>
  <c r="L1186" i="1"/>
  <c r="K1186" i="1"/>
  <c r="L1185" i="1"/>
  <c r="K1185" i="1"/>
  <c r="L1184" i="1"/>
  <c r="K1184" i="1"/>
  <c r="L1183" i="1"/>
  <c r="K1183" i="1"/>
  <c r="L1181" i="1"/>
  <c r="K1181" i="1"/>
  <c r="L1180" i="1"/>
  <c r="K1180" i="1"/>
  <c r="L1179" i="1"/>
  <c r="K1179" i="1"/>
  <c r="L1178" i="1"/>
  <c r="K1178" i="1"/>
  <c r="K1177" i="1"/>
  <c r="L1176" i="1"/>
  <c r="K1176" i="1"/>
  <c r="K1175" i="1"/>
  <c r="K1174" i="1"/>
  <c r="K1173" i="1"/>
  <c r="K1172" i="1"/>
  <c r="K1166" i="1"/>
  <c r="L1165" i="1"/>
  <c r="K1165" i="1"/>
  <c r="K1157" i="1"/>
  <c r="L1156" i="1"/>
  <c r="K1156" i="1"/>
  <c r="K1155" i="1"/>
  <c r="L1154" i="1"/>
  <c r="K1154" i="1"/>
  <c r="L1153" i="1"/>
  <c r="K1153" i="1"/>
  <c r="L1152" i="1"/>
  <c r="K1152" i="1"/>
  <c r="L1147" i="1"/>
  <c r="K1147" i="1"/>
  <c r="L1146" i="1"/>
  <c r="K1146" i="1"/>
  <c r="L1143" i="1"/>
  <c r="K1143" i="1"/>
  <c r="L1142" i="1"/>
  <c r="K1142" i="1"/>
  <c r="L1141" i="1"/>
  <c r="K1141" i="1"/>
  <c r="L1137" i="1"/>
  <c r="K1137" i="1"/>
  <c r="K1136" i="1"/>
  <c r="K1135" i="1"/>
  <c r="L1134" i="1"/>
  <c r="K1134" i="1"/>
  <c r="L1133" i="1"/>
  <c r="K1133" i="1"/>
  <c r="K1130" i="1"/>
  <c r="L1127" i="1"/>
  <c r="K1127" i="1"/>
  <c r="K1126" i="1"/>
  <c r="L1125" i="1"/>
  <c r="K1125" i="1"/>
  <c r="K1124" i="1"/>
  <c r="K1123" i="1"/>
  <c r="L1122" i="1"/>
  <c r="K1122" i="1"/>
  <c r="L1121" i="1"/>
  <c r="K1121" i="1"/>
  <c r="L1117" i="1"/>
  <c r="K1117" i="1"/>
  <c r="L1116" i="1"/>
  <c r="K1116" i="1"/>
  <c r="L1115" i="1"/>
  <c r="K1115" i="1"/>
  <c r="L1114" i="1"/>
  <c r="K1114" i="1"/>
  <c r="L1113" i="1"/>
  <c r="K1113" i="1"/>
  <c r="K1112" i="1"/>
  <c r="K1111" i="1"/>
  <c r="L1110" i="1"/>
  <c r="K1110" i="1"/>
  <c r="L1109" i="1"/>
  <c r="K1109" i="1"/>
  <c r="L1108" i="1"/>
  <c r="K1108" i="1"/>
  <c r="L1107" i="1"/>
  <c r="K1107" i="1"/>
  <c r="L1106" i="1"/>
  <c r="K1106" i="1"/>
  <c r="L1105" i="1"/>
  <c r="K1105" i="1"/>
  <c r="L1101" i="1"/>
  <c r="K1101" i="1"/>
  <c r="L1100" i="1"/>
  <c r="K1100" i="1"/>
  <c r="L1095" i="1"/>
  <c r="K1095" i="1"/>
  <c r="L1094" i="1"/>
  <c r="K1094" i="1"/>
  <c r="L1093" i="1"/>
  <c r="K1093" i="1"/>
  <c r="L1087" i="1"/>
  <c r="K1087" i="1"/>
  <c r="L1086" i="1"/>
  <c r="K1086" i="1"/>
  <c r="L1085" i="1"/>
  <c r="K1085" i="1"/>
  <c r="L1084" i="1"/>
  <c r="K1084" i="1"/>
  <c r="L1083" i="1"/>
  <c r="K1083" i="1"/>
  <c r="L1082" i="1"/>
  <c r="K1082" i="1"/>
  <c r="L1081" i="1"/>
  <c r="K1081" i="1"/>
  <c r="L1080" i="1"/>
  <c r="K1080" i="1"/>
  <c r="L1079" i="1"/>
  <c r="K1079" i="1"/>
  <c r="L1078" i="1"/>
  <c r="K1078" i="1"/>
  <c r="L1077" i="1"/>
  <c r="K1077" i="1"/>
  <c r="K1076" i="1"/>
  <c r="L1075" i="1"/>
  <c r="K1075" i="1"/>
  <c r="L1074" i="1"/>
  <c r="K1074" i="1"/>
  <c r="L1073" i="1"/>
  <c r="K1073" i="1"/>
  <c r="L1072" i="1"/>
  <c r="K1072" i="1"/>
  <c r="L1071" i="1"/>
  <c r="K1071" i="1"/>
  <c r="L1070" i="1"/>
  <c r="K1070" i="1"/>
  <c r="L1069" i="1"/>
  <c r="K1069" i="1"/>
  <c r="L1068" i="1"/>
  <c r="K1068" i="1"/>
  <c r="L1067" i="1"/>
  <c r="K1067" i="1"/>
  <c r="L1066" i="1"/>
  <c r="K1066" i="1"/>
  <c r="L1065" i="1"/>
  <c r="K1065" i="1"/>
  <c r="K1064" i="1"/>
  <c r="L1063" i="1"/>
  <c r="K1063" i="1"/>
  <c r="L1062" i="1"/>
  <c r="K1062" i="1"/>
  <c r="L1061" i="1"/>
  <c r="K1061" i="1"/>
  <c r="L1060" i="1"/>
  <c r="K1060" i="1"/>
  <c r="K1056" i="1"/>
  <c r="K1055" i="1"/>
  <c r="L1038" i="1"/>
  <c r="K1038" i="1"/>
  <c r="L1037" i="1"/>
  <c r="K1037" i="1"/>
  <c r="L1036" i="1"/>
  <c r="K1036" i="1"/>
  <c r="L1035" i="1"/>
  <c r="K1035" i="1"/>
  <c r="L1034" i="1"/>
  <c r="K1034" i="1"/>
  <c r="L1033" i="1"/>
  <c r="K1033" i="1"/>
  <c r="L1029" i="1"/>
  <c r="K1029" i="1"/>
  <c r="L1028" i="1"/>
  <c r="K1028" i="1"/>
  <c r="L1027" i="1"/>
  <c r="K1027" i="1"/>
  <c r="L1026" i="1"/>
  <c r="K1026" i="1"/>
  <c r="L1025" i="1"/>
  <c r="K1025" i="1"/>
  <c r="L1024" i="1"/>
  <c r="K1024" i="1"/>
  <c r="L1023" i="1"/>
  <c r="K1023" i="1"/>
  <c r="L1022" i="1"/>
  <c r="K1022" i="1"/>
  <c r="L1021" i="1"/>
  <c r="K1021" i="1"/>
  <c r="L1020" i="1"/>
  <c r="K1020" i="1"/>
  <c r="L1019" i="1"/>
  <c r="K1019" i="1"/>
  <c r="L1015" i="1"/>
  <c r="K1015" i="1"/>
  <c r="L1014" i="1"/>
  <c r="K1014" i="1"/>
  <c r="L1013" i="1"/>
  <c r="K1013" i="1"/>
  <c r="L1012" i="1"/>
  <c r="K1012" i="1"/>
  <c r="K1011" i="1"/>
  <c r="K997" i="1"/>
  <c r="K996" i="1"/>
  <c r="K992" i="1"/>
  <c r="K991" i="1"/>
  <c r="K990" i="1"/>
  <c r="K989" i="1"/>
  <c r="L988" i="1"/>
  <c r="K988" i="1"/>
  <c r="L987" i="1"/>
  <c r="K987" i="1"/>
  <c r="L975" i="1"/>
  <c r="K975" i="1"/>
  <c r="L974" i="1"/>
  <c r="K974" i="1"/>
  <c r="L973" i="1"/>
  <c r="K973" i="1"/>
  <c r="L972" i="1"/>
  <c r="K972" i="1"/>
  <c r="L971" i="1"/>
  <c r="K971" i="1"/>
  <c r="L964" i="1"/>
  <c r="K964" i="1"/>
  <c r="L963" i="1"/>
  <c r="K963" i="1"/>
  <c r="L962" i="1"/>
  <c r="K962" i="1"/>
  <c r="L961" i="1"/>
  <c r="K961" i="1"/>
  <c r="L960" i="1"/>
  <c r="K960" i="1"/>
  <c r="L959" i="1"/>
  <c r="K959" i="1"/>
  <c r="L958" i="1"/>
  <c r="K958" i="1"/>
  <c r="L957" i="1"/>
  <c r="K957" i="1"/>
  <c r="L956" i="1"/>
  <c r="K956" i="1"/>
  <c r="K955" i="1"/>
  <c r="L954" i="1"/>
  <c r="K954" i="1"/>
  <c r="L953" i="1"/>
  <c r="K953" i="1"/>
  <c r="L952" i="1"/>
  <c r="K952" i="1"/>
  <c r="L951" i="1"/>
  <c r="K951" i="1"/>
  <c r="L950" i="1"/>
  <c r="K950" i="1"/>
  <c r="L949" i="1"/>
  <c r="K949" i="1"/>
  <c r="L948" i="1"/>
  <c r="K948" i="1"/>
  <c r="L944" i="1"/>
  <c r="K944" i="1"/>
  <c r="L938" i="1"/>
  <c r="K938" i="1"/>
  <c r="L937" i="1"/>
  <c r="K937" i="1"/>
  <c r="L936" i="1"/>
  <c r="K936" i="1"/>
  <c r="L935" i="1"/>
  <c r="K935" i="1"/>
  <c r="L934" i="1"/>
  <c r="K934" i="1"/>
  <c r="L925" i="1"/>
  <c r="K925" i="1"/>
  <c r="L924" i="1"/>
  <c r="K924" i="1"/>
  <c r="L923" i="1"/>
  <c r="K923" i="1"/>
  <c r="L922" i="1"/>
  <c r="K922" i="1"/>
  <c r="L921" i="1"/>
  <c r="K921" i="1"/>
  <c r="L917" i="1"/>
  <c r="K917" i="1"/>
  <c r="K910" i="1"/>
  <c r="K909" i="1"/>
  <c r="L908" i="1"/>
  <c r="K908" i="1"/>
  <c r="L907" i="1"/>
  <c r="K907" i="1"/>
  <c r="K906" i="1"/>
  <c r="K905" i="1"/>
  <c r="L902" i="1"/>
  <c r="K902" i="1"/>
  <c r="L901" i="1"/>
  <c r="K901" i="1"/>
  <c r="L900" i="1"/>
  <c r="K900" i="1"/>
  <c r="L899" i="1"/>
  <c r="K899" i="1"/>
  <c r="L898" i="1"/>
  <c r="K898" i="1"/>
  <c r="L897" i="1"/>
  <c r="K897" i="1"/>
  <c r="L896" i="1"/>
  <c r="K896" i="1"/>
  <c r="L895" i="1"/>
  <c r="K895" i="1"/>
  <c r="K890" i="1"/>
  <c r="L887" i="1"/>
  <c r="K887" i="1"/>
  <c r="L886" i="1"/>
  <c r="K886" i="1"/>
  <c r="L885" i="1"/>
  <c r="K885" i="1"/>
  <c r="K883" i="1"/>
  <c r="L882" i="1"/>
  <c r="K882" i="1"/>
  <c r="L881" i="1"/>
  <c r="K881" i="1"/>
  <c r="L880" i="1"/>
  <c r="K880" i="1"/>
  <c r="L879" i="1"/>
  <c r="K879" i="1"/>
  <c r="L878" i="1"/>
  <c r="K878" i="1"/>
  <c r="L877" i="1"/>
  <c r="K877" i="1"/>
  <c r="L876" i="1"/>
  <c r="K876" i="1"/>
  <c r="L871" i="1"/>
  <c r="K871" i="1"/>
  <c r="L870" i="1"/>
  <c r="K870" i="1"/>
  <c r="L869" i="1"/>
  <c r="K869" i="1"/>
  <c r="K868" i="1"/>
  <c r="K867" i="1"/>
  <c r="K866" i="1"/>
  <c r="L865" i="1"/>
  <c r="K865" i="1"/>
  <c r="K864" i="1"/>
  <c r="K862" i="1"/>
  <c r="K861" i="1"/>
  <c r="K860" i="1"/>
  <c r="L859" i="1"/>
  <c r="K859" i="1"/>
  <c r="K858" i="1"/>
  <c r="L857" i="1"/>
  <c r="K857" i="1"/>
  <c r="K856" i="1"/>
  <c r="L855" i="1"/>
  <c r="K855" i="1"/>
  <c r="L854" i="1"/>
  <c r="K854" i="1"/>
  <c r="K853" i="1"/>
  <c r="K852" i="1"/>
  <c r="K851" i="1"/>
  <c r="L850" i="1"/>
  <c r="K850" i="1"/>
  <c r="K849" i="1"/>
  <c r="K848" i="1"/>
  <c r="K847" i="1"/>
  <c r="K846" i="1"/>
  <c r="K845" i="1"/>
  <c r="K844" i="1"/>
  <c r="K843" i="1"/>
  <c r="K837" i="1"/>
  <c r="L836" i="1"/>
  <c r="K836" i="1"/>
  <c r="K835" i="1"/>
  <c r="K834" i="1"/>
  <c r="K833" i="1"/>
  <c r="L832" i="1"/>
  <c r="K832" i="1"/>
  <c r="L831" i="1"/>
  <c r="K831" i="1"/>
  <c r="L829" i="1"/>
  <c r="K829" i="1"/>
  <c r="K828" i="1"/>
  <c r="L827" i="1"/>
  <c r="K827" i="1"/>
  <c r="K826" i="1"/>
  <c r="L825" i="1"/>
  <c r="K825" i="1"/>
  <c r="L824" i="1"/>
  <c r="K824" i="1"/>
  <c r="L823" i="1"/>
  <c r="K823" i="1"/>
  <c r="L822" i="1"/>
  <c r="K822" i="1"/>
  <c r="L821" i="1"/>
  <c r="K821" i="1"/>
  <c r="L820" i="1"/>
  <c r="K820" i="1"/>
  <c r="L819" i="1"/>
  <c r="K819" i="1"/>
  <c r="L818" i="1"/>
  <c r="K818" i="1"/>
  <c r="K810" i="1"/>
  <c r="L805" i="1"/>
  <c r="K805" i="1"/>
  <c r="L804" i="1"/>
  <c r="K804" i="1"/>
  <c r="L803" i="1"/>
  <c r="K803" i="1"/>
  <c r="L802" i="1"/>
  <c r="K802" i="1"/>
  <c r="L801" i="1"/>
  <c r="K801" i="1"/>
  <c r="L799" i="1"/>
  <c r="K799" i="1"/>
  <c r="L798" i="1"/>
  <c r="K798" i="1"/>
  <c r="L797" i="1"/>
  <c r="K797" i="1"/>
  <c r="L796" i="1"/>
  <c r="K796" i="1"/>
  <c r="L791" i="1"/>
  <c r="K791" i="1"/>
  <c r="L788" i="1"/>
  <c r="K788" i="1"/>
  <c r="L787" i="1"/>
  <c r="K787" i="1"/>
  <c r="K786" i="1"/>
  <c r="K785" i="1"/>
  <c r="L784" i="1"/>
  <c r="K784" i="1"/>
  <c r="L781" i="1"/>
  <c r="K781" i="1"/>
  <c r="K780" i="1"/>
  <c r="L779" i="1"/>
  <c r="K779" i="1"/>
  <c r="K778" i="1"/>
  <c r="K775" i="1"/>
  <c r="L774" i="1"/>
  <c r="K774" i="1"/>
  <c r="L773" i="1"/>
  <c r="K773" i="1"/>
  <c r="L772" i="1"/>
  <c r="K772" i="1"/>
  <c r="L770" i="1"/>
  <c r="K770" i="1"/>
  <c r="L764" i="1"/>
  <c r="K764" i="1"/>
  <c r="L763" i="1"/>
  <c r="K763" i="1"/>
  <c r="L762" i="1"/>
  <c r="K762" i="1"/>
  <c r="L761" i="1"/>
  <c r="K761" i="1"/>
  <c r="L752" i="1"/>
  <c r="K752" i="1"/>
  <c r="K743" i="1"/>
  <c r="K735" i="1"/>
  <c r="L734" i="1"/>
  <c r="K734" i="1"/>
  <c r="K733" i="1"/>
  <c r="L732" i="1"/>
  <c r="K732" i="1"/>
  <c r="K731" i="1"/>
  <c r="K730" i="1"/>
  <c r="L729" i="1"/>
  <c r="K729" i="1"/>
  <c r="L728" i="1"/>
  <c r="K728" i="1"/>
  <c r="L724" i="1"/>
  <c r="K724" i="1"/>
  <c r="K723" i="1"/>
  <c r="K719" i="1"/>
  <c r="L718" i="1"/>
  <c r="K718" i="1"/>
  <c r="L717" i="1"/>
  <c r="K717" i="1"/>
  <c r="L716" i="1"/>
  <c r="K716" i="1"/>
  <c r="L715" i="1"/>
  <c r="K715" i="1"/>
  <c r="L714" i="1"/>
  <c r="K714" i="1"/>
  <c r="K711" i="1"/>
  <c r="K710" i="1"/>
  <c r="L709" i="1"/>
  <c r="K709" i="1"/>
  <c r="L708" i="1"/>
  <c r="K708" i="1"/>
  <c r="L698" i="1"/>
  <c r="K698" i="1"/>
  <c r="K688" i="1"/>
  <c r="K687" i="1"/>
  <c r="K686" i="1"/>
  <c r="L675" i="1"/>
  <c r="K675" i="1"/>
  <c r="L674" i="1"/>
  <c r="K674" i="1"/>
  <c r="L673" i="1"/>
  <c r="K673" i="1"/>
  <c r="L672" i="1"/>
  <c r="K672" i="1"/>
  <c r="L671" i="1"/>
  <c r="K671" i="1"/>
  <c r="L670" i="1"/>
  <c r="K670" i="1"/>
  <c r="L669" i="1"/>
  <c r="K669" i="1"/>
  <c r="L668" i="1"/>
  <c r="K668" i="1"/>
  <c r="L660" i="1"/>
  <c r="K660" i="1"/>
  <c r="L659" i="1"/>
  <c r="K659" i="1"/>
  <c r="L658" i="1"/>
  <c r="K658" i="1"/>
  <c r="K657" i="1"/>
  <c r="L656" i="1"/>
  <c r="K656" i="1"/>
  <c r="K655" i="1"/>
  <c r="L654" i="1"/>
  <c r="K654" i="1"/>
  <c r="L653" i="1"/>
  <c r="K653" i="1"/>
  <c r="L652" i="1"/>
  <c r="K652" i="1"/>
  <c r="L651" i="1"/>
  <c r="K651" i="1"/>
  <c r="L650" i="1"/>
  <c r="K650" i="1"/>
  <c r="L649" i="1"/>
  <c r="K649" i="1"/>
  <c r="L648" i="1"/>
  <c r="K648" i="1"/>
  <c r="L643" i="1"/>
  <c r="K643" i="1"/>
  <c r="L642" i="1"/>
  <c r="K642" i="1"/>
  <c r="L641" i="1"/>
  <c r="K641" i="1"/>
  <c r="L640" i="1"/>
  <c r="K640" i="1"/>
  <c r="L639" i="1"/>
  <c r="K639" i="1"/>
  <c r="K638" i="1"/>
  <c r="L637" i="1"/>
  <c r="K637" i="1"/>
  <c r="L634" i="1"/>
  <c r="K634" i="1"/>
  <c r="L633" i="1"/>
  <c r="K633" i="1"/>
  <c r="L631" i="1"/>
  <c r="K631" i="1"/>
  <c r="L630" i="1"/>
  <c r="K630" i="1"/>
  <c r="K625" i="1"/>
  <c r="K624" i="1"/>
  <c r="K623" i="1"/>
  <c r="L622" i="1"/>
  <c r="K622" i="1"/>
  <c r="K621" i="1"/>
  <c r="L620" i="1"/>
  <c r="K620" i="1"/>
  <c r="L619" i="1"/>
  <c r="K619" i="1"/>
  <c r="K618" i="1"/>
  <c r="K617" i="1"/>
  <c r="K616" i="1"/>
  <c r="K615" i="1"/>
  <c r="L614" i="1"/>
  <c r="K614" i="1"/>
  <c r="K613" i="1"/>
  <c r="L607" i="1"/>
  <c r="K607" i="1"/>
  <c r="L606" i="1"/>
  <c r="K606" i="1"/>
  <c r="L601" i="1"/>
  <c r="K601" i="1"/>
  <c r="L600" i="1"/>
  <c r="K600" i="1"/>
  <c r="L599" i="1"/>
  <c r="K599" i="1"/>
  <c r="L598" i="1"/>
  <c r="K598" i="1"/>
  <c r="L597" i="1"/>
  <c r="K597" i="1"/>
  <c r="L596" i="1"/>
  <c r="K596" i="1"/>
  <c r="L595" i="1"/>
  <c r="K595" i="1"/>
  <c r="K582" i="1"/>
  <c r="K581" i="1"/>
  <c r="L580" i="1"/>
  <c r="K580" i="1"/>
  <c r="L579" i="1"/>
  <c r="K579" i="1"/>
  <c r="L578" i="1"/>
  <c r="K578" i="1"/>
  <c r="L577" i="1"/>
  <c r="K577" i="1"/>
  <c r="L576" i="1"/>
  <c r="K576" i="1"/>
  <c r="L575" i="1"/>
  <c r="K575" i="1"/>
  <c r="L573" i="1"/>
  <c r="K573" i="1"/>
  <c r="L572" i="1"/>
  <c r="K572" i="1"/>
  <c r="L571" i="1"/>
  <c r="K571" i="1"/>
  <c r="L570" i="1"/>
  <c r="K570" i="1"/>
  <c r="K568" i="1"/>
  <c r="L565" i="1"/>
  <c r="K565" i="1"/>
  <c r="K564" i="1"/>
  <c r="L562" i="1"/>
  <c r="K562" i="1"/>
  <c r="L561" i="1"/>
  <c r="K561" i="1"/>
  <c r="L560" i="1"/>
  <c r="K560" i="1"/>
  <c r="L559" i="1"/>
  <c r="K559" i="1"/>
  <c r="L558" i="1"/>
  <c r="K558" i="1"/>
  <c r="L557" i="1"/>
  <c r="K557" i="1"/>
  <c r="L556" i="1"/>
  <c r="K556" i="1"/>
  <c r="L555" i="1"/>
  <c r="K555" i="1"/>
  <c r="K551" i="1"/>
  <c r="L550" i="1"/>
  <c r="K550" i="1"/>
  <c r="L549" i="1"/>
  <c r="K549" i="1"/>
  <c r="L548" i="1"/>
  <c r="K548" i="1"/>
  <c r="L545" i="1"/>
  <c r="K545" i="1"/>
  <c r="L544" i="1"/>
  <c r="K544" i="1"/>
  <c r="L543" i="1"/>
  <c r="K543" i="1"/>
  <c r="L542" i="1"/>
  <c r="K542" i="1"/>
  <c r="L541" i="1"/>
  <c r="K541" i="1"/>
  <c r="L540" i="1"/>
  <c r="K540" i="1"/>
  <c r="L539" i="1"/>
  <c r="K539" i="1"/>
  <c r="K536" i="1"/>
  <c r="L535" i="1"/>
  <c r="K535" i="1"/>
  <c r="L534" i="1"/>
  <c r="K534" i="1"/>
  <c r="K533" i="1"/>
  <c r="K532" i="1"/>
  <c r="L531" i="1"/>
  <c r="K531" i="1"/>
  <c r="L530" i="1"/>
  <c r="K530" i="1"/>
  <c r="L529" i="1"/>
  <c r="K529" i="1"/>
  <c r="L528" i="1"/>
  <c r="K528" i="1"/>
  <c r="L527" i="1"/>
  <c r="K527" i="1"/>
  <c r="L526" i="1"/>
  <c r="K526" i="1"/>
  <c r="L525" i="1"/>
  <c r="K525" i="1"/>
  <c r="L520" i="1"/>
  <c r="K520" i="1"/>
  <c r="L519" i="1"/>
  <c r="K519" i="1"/>
  <c r="L518" i="1"/>
  <c r="K518" i="1"/>
  <c r="L517" i="1"/>
  <c r="K517" i="1"/>
  <c r="L516" i="1"/>
  <c r="K516" i="1"/>
  <c r="L515" i="1"/>
  <c r="K515" i="1"/>
  <c r="L514" i="1"/>
  <c r="K514" i="1"/>
  <c r="L508" i="1"/>
  <c r="K508" i="1"/>
  <c r="L507" i="1"/>
  <c r="K507" i="1"/>
  <c r="L506" i="1"/>
  <c r="K506" i="1"/>
  <c r="L505" i="1"/>
  <c r="K505" i="1"/>
  <c r="K503" i="1"/>
  <c r="K502" i="1"/>
  <c r="L501" i="1"/>
  <c r="K501" i="1"/>
  <c r="K500" i="1"/>
  <c r="L499" i="1"/>
  <c r="K499" i="1"/>
  <c r="K498" i="1"/>
  <c r="L488" i="1"/>
  <c r="K488" i="1"/>
  <c r="L487" i="1"/>
  <c r="K487" i="1"/>
  <c r="L478" i="1"/>
  <c r="K478" i="1"/>
  <c r="L477" i="1"/>
  <c r="K477" i="1"/>
  <c r="L476" i="1"/>
  <c r="K476" i="1"/>
  <c r="L469" i="1"/>
  <c r="K469" i="1"/>
  <c r="L468" i="1"/>
  <c r="K468" i="1"/>
  <c r="L467" i="1"/>
  <c r="K467" i="1"/>
  <c r="L466" i="1"/>
  <c r="K466" i="1"/>
  <c r="L465" i="1"/>
  <c r="K465" i="1"/>
  <c r="L464" i="1"/>
  <c r="K464" i="1"/>
  <c r="L459" i="1"/>
  <c r="K459" i="1"/>
  <c r="L458" i="1"/>
  <c r="K458" i="1"/>
  <c r="L451" i="1"/>
  <c r="K451" i="1"/>
  <c r="L450" i="1"/>
  <c r="K450" i="1"/>
  <c r="L449" i="1"/>
  <c r="K449" i="1"/>
  <c r="L448" i="1"/>
  <c r="K448" i="1"/>
  <c r="L442" i="1"/>
  <c r="K442" i="1"/>
  <c r="L441" i="1"/>
  <c r="K441" i="1"/>
  <c r="K438" i="1"/>
  <c r="K437" i="1"/>
  <c r="K436" i="1"/>
  <c r="K435" i="1"/>
  <c r="K434" i="1"/>
  <c r="K433" i="1"/>
  <c r="K432" i="1"/>
  <c r="K431" i="1"/>
  <c r="K430" i="1"/>
  <c r="L428" i="1"/>
  <c r="K428" i="1"/>
  <c r="L427" i="1"/>
  <c r="K427" i="1"/>
  <c r="L416" i="1"/>
  <c r="K416" i="1"/>
  <c r="L415" i="1"/>
  <c r="K415" i="1"/>
  <c r="K414" i="1"/>
  <c r="L413" i="1"/>
  <c r="K413" i="1"/>
  <c r="L412" i="1"/>
  <c r="K412" i="1"/>
  <c r="L411" i="1"/>
  <c r="K411" i="1"/>
  <c r="L410" i="1"/>
  <c r="K410" i="1"/>
  <c r="L409" i="1"/>
  <c r="K409" i="1"/>
  <c r="L408" i="1"/>
  <c r="K408" i="1"/>
  <c r="L403" i="1"/>
  <c r="K403" i="1"/>
  <c r="L402" i="1"/>
  <c r="K402" i="1"/>
  <c r="L401" i="1"/>
  <c r="K401" i="1"/>
  <c r="L400" i="1"/>
  <c r="K400" i="1"/>
  <c r="K399" i="1"/>
  <c r="L396" i="1"/>
  <c r="K396" i="1"/>
  <c r="L392" i="1"/>
  <c r="K392" i="1"/>
  <c r="L391" i="1"/>
  <c r="K391" i="1"/>
  <c r="L390" i="1"/>
  <c r="K390" i="1"/>
  <c r="K375" i="1"/>
  <c r="K374" i="1"/>
  <c r="K373" i="1"/>
  <c r="K372" i="1"/>
  <c r="K371" i="1"/>
  <c r="L370" i="1"/>
  <c r="K370" i="1"/>
  <c r="K369" i="1"/>
  <c r="K368" i="1"/>
  <c r="L367" i="1"/>
  <c r="K367" i="1"/>
  <c r="K366" i="1"/>
  <c r="K362" i="1"/>
  <c r="K361" i="1"/>
  <c r="K360" i="1"/>
  <c r="K359" i="1"/>
  <c r="L358" i="1"/>
  <c r="K358" i="1"/>
  <c r="L357" i="1"/>
  <c r="K357" i="1"/>
  <c r="L356" i="1"/>
  <c r="K356" i="1"/>
  <c r="L355" i="1"/>
  <c r="K355" i="1"/>
  <c r="L346" i="1"/>
  <c r="K346" i="1"/>
  <c r="L345" i="1"/>
  <c r="K345" i="1"/>
  <c r="L344" i="1"/>
  <c r="K344" i="1"/>
  <c r="L343" i="1"/>
  <c r="K343" i="1"/>
  <c r="K342" i="1"/>
  <c r="L341" i="1"/>
  <c r="K341" i="1"/>
  <c r="L340" i="1"/>
  <c r="K340" i="1"/>
  <c r="L334" i="1"/>
  <c r="K334" i="1"/>
  <c r="L333" i="1"/>
  <c r="K333" i="1"/>
  <c r="L332" i="1"/>
  <c r="K332" i="1"/>
  <c r="L331" i="1"/>
  <c r="K331" i="1"/>
  <c r="L330" i="1"/>
  <c r="K330" i="1"/>
  <c r="L329" i="1"/>
  <c r="K329" i="1"/>
  <c r="L324" i="1"/>
  <c r="K324" i="1"/>
  <c r="L323" i="1"/>
  <c r="K323" i="1"/>
  <c r="K322" i="1"/>
  <c r="L321" i="1"/>
  <c r="K321" i="1"/>
  <c r="L320" i="1"/>
  <c r="K320" i="1"/>
  <c r="L313" i="1"/>
  <c r="K313" i="1"/>
  <c r="L312" i="1"/>
  <c r="K312" i="1"/>
  <c r="L311" i="1"/>
  <c r="K311" i="1"/>
  <c r="L310" i="1"/>
  <c r="K310" i="1"/>
  <c r="L309" i="1"/>
  <c r="K309" i="1"/>
  <c r="K308" i="1"/>
  <c r="L307" i="1"/>
  <c r="K307" i="1"/>
  <c r="L306" i="1"/>
  <c r="K306" i="1"/>
  <c r="L305" i="1"/>
  <c r="K305" i="1"/>
  <c r="L297" i="1"/>
  <c r="K297" i="1"/>
  <c r="K296" i="1"/>
  <c r="L295" i="1"/>
  <c r="K295" i="1"/>
  <c r="L294" i="1"/>
  <c r="K294" i="1"/>
  <c r="L290" i="1"/>
  <c r="K290" i="1"/>
  <c r="L289" i="1"/>
  <c r="K289" i="1"/>
  <c r="L288" i="1"/>
  <c r="K288" i="1"/>
  <c r="L287" i="1"/>
  <c r="K287" i="1"/>
  <c r="L286" i="1"/>
  <c r="K286" i="1"/>
  <c r="L285" i="1"/>
  <c r="K285" i="1"/>
  <c r="L284" i="1"/>
  <c r="K284" i="1"/>
  <c r="L281" i="1"/>
  <c r="K281" i="1"/>
  <c r="L280" i="1"/>
  <c r="K280" i="1"/>
  <c r="L279" i="1"/>
  <c r="K279" i="1"/>
  <c r="L278" i="1"/>
  <c r="K278" i="1"/>
  <c r="L277" i="1"/>
  <c r="K277" i="1"/>
  <c r="L275" i="1"/>
  <c r="K275" i="1"/>
  <c r="L274" i="1"/>
  <c r="K274" i="1"/>
  <c r="L273" i="1"/>
  <c r="K273" i="1"/>
  <c r="K272" i="1"/>
  <c r="L271" i="1"/>
  <c r="K271" i="1"/>
  <c r="L270" i="1"/>
  <c r="K270" i="1"/>
  <c r="L269" i="1"/>
  <c r="K269" i="1"/>
  <c r="L268" i="1"/>
  <c r="K268" i="1"/>
  <c r="K267" i="1"/>
  <c r="L266" i="1"/>
  <c r="K266" i="1"/>
  <c r="L265" i="1"/>
  <c r="K265" i="1"/>
  <c r="L264" i="1"/>
  <c r="K264" i="1"/>
  <c r="L263" i="1"/>
  <c r="K263" i="1"/>
  <c r="L262" i="1"/>
  <c r="K262" i="1"/>
  <c r="L261" i="1"/>
  <c r="K261" i="1"/>
  <c r="L260" i="1"/>
  <c r="K260" i="1"/>
  <c r="L257" i="1"/>
  <c r="K257" i="1"/>
  <c r="L256" i="1"/>
  <c r="K256" i="1"/>
  <c r="L255" i="1"/>
  <c r="K255" i="1"/>
  <c r="L254" i="1"/>
  <c r="K254" i="1"/>
  <c r="L253" i="1"/>
  <c r="K253" i="1"/>
  <c r="L237" i="1"/>
  <c r="K237" i="1"/>
  <c r="K236" i="1"/>
  <c r="K235" i="1"/>
  <c r="K234" i="1"/>
  <c r="K233" i="1"/>
  <c r="L232" i="1"/>
  <c r="K232" i="1"/>
  <c r="L231" i="1"/>
  <c r="K231" i="1"/>
  <c r="L230" i="1"/>
  <c r="K230" i="1"/>
  <c r="L229" i="1"/>
  <c r="K229" i="1"/>
  <c r="L228" i="1"/>
  <c r="K228" i="1"/>
  <c r="K227" i="1"/>
  <c r="L226" i="1"/>
  <c r="K226" i="1"/>
  <c r="K225" i="1"/>
  <c r="K224" i="1"/>
  <c r="L215" i="1"/>
  <c r="K215" i="1"/>
  <c r="L214" i="1"/>
  <c r="K214" i="1"/>
  <c r="L213" i="1"/>
  <c r="K213" i="1"/>
  <c r="L212" i="1"/>
  <c r="K212" i="1"/>
  <c r="L211" i="1"/>
  <c r="K211" i="1"/>
  <c r="L210" i="1"/>
  <c r="K210" i="1"/>
  <c r="L209" i="1"/>
  <c r="K209" i="1"/>
  <c r="K201" i="1"/>
  <c r="L200" i="1"/>
  <c r="K200" i="1"/>
  <c r="L199" i="1"/>
  <c r="K199" i="1"/>
  <c r="L198" i="1"/>
  <c r="K198" i="1"/>
  <c r="L197" i="1"/>
  <c r="K197" i="1"/>
  <c r="L191" i="1"/>
  <c r="K191" i="1"/>
  <c r="L190" i="1"/>
  <c r="K190" i="1"/>
  <c r="L183" i="1"/>
  <c r="K183" i="1"/>
  <c r="L182" i="1"/>
  <c r="K182" i="1"/>
  <c r="L181" i="1"/>
  <c r="K181" i="1"/>
  <c r="L180" i="1"/>
  <c r="K180" i="1"/>
  <c r="L179" i="1"/>
  <c r="K179" i="1"/>
  <c r="L178" i="1"/>
  <c r="K178" i="1"/>
  <c r="L177" i="1"/>
  <c r="K177" i="1"/>
  <c r="L176" i="1"/>
  <c r="K176" i="1"/>
  <c r="L171" i="1"/>
  <c r="K171" i="1"/>
  <c r="L170" i="1"/>
  <c r="K170" i="1"/>
  <c r="L169" i="1"/>
  <c r="K169" i="1"/>
  <c r="L168" i="1"/>
  <c r="K168" i="1"/>
  <c r="K158" i="1"/>
  <c r="K157" i="1"/>
  <c r="L156" i="1"/>
  <c r="K156" i="1"/>
  <c r="K155" i="1"/>
  <c r="K154" i="1"/>
  <c r="L153" i="1"/>
  <c r="K153" i="1"/>
  <c r="K152" i="1"/>
  <c r="L151" i="1"/>
  <c r="K151" i="1"/>
  <c r="L145" i="1"/>
  <c r="K145" i="1"/>
  <c r="K144" i="1"/>
  <c r="L143" i="1"/>
  <c r="K143" i="1"/>
  <c r="K138" i="1"/>
  <c r="K137" i="1"/>
  <c r="L136" i="1"/>
  <c r="K136" i="1"/>
  <c r="L135" i="1"/>
  <c r="K135" i="1"/>
  <c r="L134" i="1"/>
  <c r="K134" i="1"/>
  <c r="L132" i="1"/>
  <c r="K132" i="1"/>
  <c r="L131" i="1"/>
  <c r="K131" i="1"/>
  <c r="L130" i="1"/>
  <c r="K130" i="1"/>
  <c r="L129" i="1"/>
  <c r="K129" i="1"/>
  <c r="L128" i="1"/>
  <c r="K128" i="1"/>
  <c r="L127" i="1"/>
  <c r="K127" i="1"/>
  <c r="L126" i="1"/>
  <c r="K126" i="1"/>
  <c r="L125" i="1"/>
  <c r="K125" i="1"/>
  <c r="L124" i="1"/>
  <c r="K124" i="1"/>
  <c r="L123" i="1"/>
  <c r="K123" i="1"/>
  <c r="L122" i="1"/>
  <c r="K122" i="1"/>
  <c r="L121" i="1"/>
  <c r="K121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0" i="1"/>
  <c r="K110" i="1"/>
  <c r="K109" i="1"/>
  <c r="L105" i="1"/>
  <c r="K105" i="1"/>
  <c r="K104" i="1"/>
  <c r="K101" i="1"/>
  <c r="L94" i="1"/>
  <c r="K94" i="1"/>
  <c r="L93" i="1"/>
  <c r="K93" i="1"/>
  <c r="L90" i="1"/>
  <c r="K90" i="1"/>
  <c r="L79" i="1"/>
  <c r="K79" i="1"/>
  <c r="L78" i="1"/>
  <c r="K78" i="1"/>
  <c r="L77" i="1"/>
  <c r="K77" i="1"/>
  <c r="L76" i="1"/>
  <c r="K76" i="1"/>
  <c r="L72" i="1"/>
  <c r="K72" i="1"/>
  <c r="L71" i="1"/>
  <c r="K71" i="1"/>
  <c r="L70" i="1"/>
  <c r="K70" i="1"/>
  <c r="L69" i="1"/>
  <c r="K69" i="1"/>
  <c r="L68" i="1"/>
  <c r="K68" i="1"/>
  <c r="L67" i="1"/>
  <c r="K67" i="1"/>
  <c r="K64" i="1"/>
  <c r="K63" i="1"/>
  <c r="L59" i="1"/>
  <c r="K59" i="1"/>
  <c r="L55" i="1"/>
  <c r="K55" i="1"/>
  <c r="L54" i="1"/>
  <c r="K54" i="1"/>
  <c r="L53" i="1"/>
  <c r="K53" i="1"/>
  <c r="L52" i="1"/>
  <c r="K52" i="1"/>
  <c r="L51" i="1"/>
  <c r="K51" i="1"/>
  <c r="L50" i="1"/>
  <c r="K50" i="1"/>
  <c r="K49" i="1"/>
  <c r="L48" i="1"/>
  <c r="K48" i="1"/>
  <c r="K47" i="1"/>
  <c r="L46" i="1"/>
  <c r="K46" i="1"/>
  <c r="L45" i="1"/>
  <c r="K45" i="1"/>
  <c r="L44" i="1"/>
  <c r="K44" i="1"/>
  <c r="L37" i="1"/>
  <c r="K37" i="1"/>
  <c r="L36" i="1"/>
  <c r="K36" i="1"/>
  <c r="L35" i="1"/>
  <c r="K35" i="1"/>
  <c r="L34" i="1"/>
  <c r="K34" i="1"/>
  <c r="L33" i="1"/>
  <c r="K33" i="1"/>
  <c r="L31" i="1"/>
  <c r="K31" i="1"/>
  <c r="L30" i="1"/>
  <c r="K30" i="1"/>
  <c r="L29" i="1"/>
  <c r="K29" i="1"/>
  <c r="L28" i="1"/>
  <c r="K28" i="1"/>
  <c r="L19" i="1"/>
  <c r="K19" i="1"/>
  <c r="L18" i="1"/>
  <c r="K18" i="1"/>
  <c r="K17" i="1"/>
  <c r="L16" i="1"/>
  <c r="K16" i="1"/>
  <c r="L15" i="1"/>
  <c r="K15" i="1"/>
  <c r="L14" i="1"/>
  <c r="K14" i="1"/>
  <c r="L13" i="1"/>
  <c r="K13" i="1"/>
  <c r="L12" i="1"/>
  <c r="K12" i="1"/>
  <c r="L10" i="1"/>
  <c r="K10" i="1"/>
  <c r="L3" i="1"/>
  <c r="K3" i="1"/>
  <c r="L1882" i="1"/>
  <c r="L1878" i="1"/>
  <c r="L1871" i="1"/>
  <c r="L1870" i="1"/>
  <c r="K1848" i="1"/>
  <c r="L1844" i="1"/>
  <c r="L1843" i="1"/>
  <c r="L1842" i="1"/>
  <c r="L1833" i="1"/>
  <c r="L1825" i="1"/>
  <c r="L1776" i="1"/>
  <c r="L1772" i="1"/>
  <c r="L1771" i="1"/>
  <c r="L1761" i="1"/>
  <c r="L1720" i="1"/>
  <c r="L1715" i="1"/>
  <c r="L1709" i="1"/>
  <c r="L1708" i="1"/>
  <c r="L1707" i="1"/>
  <c r="L1702" i="1"/>
  <c r="L1701" i="1"/>
  <c r="L1699" i="1"/>
  <c r="L1697" i="1"/>
  <c r="L1633" i="1"/>
  <c r="L1632" i="1"/>
  <c r="L1631" i="1"/>
  <c r="L1621" i="1"/>
  <c r="L1613" i="1"/>
  <c r="L1599" i="1"/>
  <c r="L1574" i="1"/>
  <c r="L1566" i="1"/>
  <c r="L1565" i="1"/>
  <c r="L1556" i="1"/>
  <c r="L1555" i="1"/>
  <c r="L1554" i="1"/>
  <c r="L1553" i="1"/>
  <c r="L1552" i="1"/>
  <c r="L1551" i="1"/>
  <c r="L1503" i="1"/>
  <c r="L1502" i="1"/>
  <c r="L1501" i="1"/>
  <c r="L1497" i="1"/>
  <c r="L1481" i="1"/>
  <c r="L1451" i="1"/>
  <c r="L1450" i="1"/>
  <c r="L1441" i="1"/>
  <c r="L1440" i="1"/>
  <c r="L1439" i="1"/>
  <c r="L1438" i="1"/>
  <c r="L1436" i="1"/>
  <c r="L1434" i="1"/>
  <c r="L1430" i="1"/>
  <c r="L1423" i="1"/>
  <c r="K1386" i="1"/>
  <c r="L1384" i="1"/>
  <c r="L1383" i="1"/>
  <c r="L1382" i="1"/>
  <c r="L1381" i="1"/>
  <c r="L1380" i="1"/>
  <c r="L1379" i="1"/>
  <c r="L1377" i="1"/>
  <c r="L1376" i="1"/>
  <c r="L1373" i="1"/>
  <c r="L1372" i="1"/>
  <c r="L1371" i="1"/>
  <c r="L1364" i="1"/>
  <c r="L1316" i="1"/>
  <c r="L1312" i="1"/>
  <c r="L1311" i="1"/>
  <c r="L1307" i="1"/>
  <c r="L1306" i="1"/>
  <c r="L1305" i="1"/>
  <c r="L1304" i="1"/>
  <c r="L1303" i="1"/>
  <c r="L1302" i="1"/>
  <c r="L1298" i="1"/>
  <c r="L1296" i="1"/>
  <c r="L1294" i="1"/>
  <c r="L1293" i="1"/>
  <c r="L1284" i="1"/>
  <c r="L1282" i="1"/>
  <c r="L1280" i="1"/>
  <c r="L1236" i="1"/>
  <c r="L1235" i="1"/>
  <c r="L1234" i="1"/>
  <c r="L1233" i="1"/>
  <c r="L1232" i="1"/>
  <c r="L1231" i="1"/>
  <c r="L1230" i="1"/>
  <c r="L1229" i="1"/>
  <c r="L1227" i="1"/>
  <c r="L1226" i="1"/>
  <c r="L1225" i="1"/>
  <c r="L1224" i="1"/>
  <c r="L1223" i="1"/>
  <c r="L1203" i="1"/>
  <c r="L1196" i="1"/>
  <c r="L1177" i="1"/>
  <c r="L1175" i="1"/>
  <c r="L1174" i="1"/>
  <c r="L1173" i="1"/>
  <c r="L1172" i="1"/>
  <c r="L1166" i="1"/>
  <c r="L1157" i="1"/>
  <c r="L1136" i="1"/>
  <c r="L1135" i="1"/>
  <c r="L1130" i="1"/>
  <c r="L1126" i="1"/>
  <c r="L1124" i="1"/>
  <c r="L1123" i="1"/>
  <c r="L1076" i="1"/>
  <c r="L1064" i="1"/>
  <c r="L1056" i="1"/>
  <c r="L1011" i="1"/>
  <c r="L997" i="1"/>
  <c r="L996" i="1"/>
  <c r="L992" i="1"/>
  <c r="L991" i="1"/>
  <c r="L990" i="1"/>
  <c r="L989" i="1"/>
  <c r="L906" i="1"/>
  <c r="L905" i="1"/>
  <c r="L890" i="1"/>
  <c r="L867" i="1"/>
  <c r="L866" i="1"/>
  <c r="L864" i="1"/>
  <c r="L861" i="1"/>
  <c r="L860" i="1"/>
  <c r="L858" i="1"/>
  <c r="L856" i="1"/>
  <c r="L853" i="1"/>
  <c r="L852" i="1"/>
  <c r="L851" i="1"/>
  <c r="L849" i="1"/>
  <c r="L848" i="1"/>
  <c r="L847" i="1"/>
  <c r="L846" i="1"/>
  <c r="L845" i="1"/>
  <c r="L844" i="1"/>
  <c r="L843" i="1"/>
  <c r="L835" i="1"/>
  <c r="L834" i="1"/>
  <c r="L833" i="1"/>
  <c r="L828" i="1"/>
  <c r="L826" i="1"/>
  <c r="L810" i="1"/>
  <c r="K800" i="1"/>
  <c r="L786" i="1"/>
  <c r="L785" i="1"/>
  <c r="L780" i="1"/>
  <c r="L778" i="1"/>
  <c r="L743" i="1"/>
  <c r="L735" i="1"/>
  <c r="L733" i="1"/>
  <c r="L731" i="1"/>
  <c r="L730" i="1"/>
  <c r="L723" i="1"/>
  <c r="L688" i="1"/>
  <c r="L687" i="1"/>
  <c r="L686" i="1"/>
  <c r="L657" i="1"/>
  <c r="L655" i="1"/>
  <c r="L638" i="1"/>
  <c r="L625" i="1"/>
  <c r="L624" i="1"/>
  <c r="L623" i="1"/>
  <c r="L621" i="1"/>
  <c r="L618" i="1"/>
  <c r="L617" i="1"/>
  <c r="L616" i="1"/>
  <c r="L615" i="1"/>
  <c r="L613" i="1"/>
  <c r="L581" i="1"/>
  <c r="L568" i="1"/>
  <c r="L564" i="1"/>
  <c r="L551" i="1"/>
  <c r="L536" i="1"/>
  <c r="L503" i="1"/>
  <c r="L502" i="1"/>
  <c r="L500" i="1"/>
  <c r="L498" i="1"/>
  <c r="L438" i="1"/>
  <c r="L437" i="1"/>
  <c r="L436" i="1"/>
  <c r="L435" i="1"/>
  <c r="L434" i="1"/>
  <c r="L433" i="1"/>
  <c r="L432" i="1"/>
  <c r="L431" i="1"/>
  <c r="L430" i="1"/>
  <c r="L414" i="1"/>
  <c r="L375" i="1"/>
  <c r="L373" i="1"/>
  <c r="L372" i="1"/>
  <c r="L371" i="1"/>
  <c r="L369" i="1"/>
  <c r="L368" i="1"/>
  <c r="L366" i="1"/>
  <c r="L362" i="1"/>
  <c r="L361" i="1"/>
  <c r="L360" i="1"/>
  <c r="L359" i="1"/>
  <c r="L342" i="1"/>
  <c r="L322" i="1"/>
  <c r="L308" i="1"/>
  <c r="L296" i="1"/>
  <c r="L272" i="1"/>
  <c r="L236" i="1"/>
  <c r="L235" i="1"/>
  <c r="L234" i="1"/>
  <c r="L233" i="1"/>
  <c r="L227" i="1"/>
  <c r="L225" i="1"/>
  <c r="L224" i="1"/>
  <c r="L201" i="1"/>
  <c r="L158" i="1"/>
  <c r="L157" i="1"/>
  <c r="L155" i="1"/>
  <c r="L154" i="1"/>
  <c r="L152" i="1"/>
  <c r="L144" i="1"/>
  <c r="L138" i="1"/>
  <c r="L137" i="1"/>
  <c r="L109" i="1"/>
  <c r="L104" i="1"/>
  <c r="L101" i="1"/>
  <c r="L64" i="1"/>
  <c r="L63" i="1"/>
  <c r="L49" i="1"/>
  <c r="L47" i="1"/>
  <c r="L1862" i="1"/>
  <c r="L1774" i="1"/>
  <c r="L1773" i="1"/>
  <c r="L1674" i="1"/>
  <c r="L1522" i="1"/>
  <c r="L1500" i="1"/>
  <c r="L1310" i="1"/>
  <c r="L1202" i="1"/>
  <c r="L1111" i="1"/>
  <c r="L1055" i="1"/>
  <c r="L837" i="1"/>
  <c r="L800" i="1"/>
  <c r="L711" i="1"/>
  <c r="L533" i="1"/>
  <c r="L532" i="1"/>
  <c r="L399" i="1"/>
  <c r="L1675" i="1"/>
  <c r="L1309" i="1"/>
  <c r="L1295" i="1"/>
  <c r="L1155" i="1"/>
  <c r="L1112" i="1"/>
  <c r="L909" i="1"/>
  <c r="L710" i="1"/>
  <c r="L17" i="1"/>
  <c r="L1894" i="1"/>
  <c r="L1848" i="1"/>
  <c r="L1388" i="1"/>
  <c r="K998" i="1"/>
  <c r="L945" i="1"/>
  <c r="L513" i="1"/>
  <c r="K242" i="1"/>
  <c r="K172" i="1"/>
  <c r="V167" i="1"/>
  <c r="V1506" i="1"/>
  <c r="V1609" i="1"/>
  <c r="V335" i="1"/>
  <c r="V86" i="1"/>
  <c r="V1789" i="1"/>
  <c r="V876" i="1"/>
  <c r="V240" i="1"/>
  <c r="V1388" i="1"/>
  <c r="V1557" i="1"/>
  <c r="V1703" i="1"/>
  <c r="V1153" i="1"/>
  <c r="V1504" i="1"/>
  <c r="V1061" i="1"/>
  <c r="V1062" i="1"/>
  <c r="V1128" i="1"/>
  <c r="V1536" i="1"/>
  <c r="V1884" i="1"/>
  <c r="V489" i="1"/>
  <c r="V1888" i="1"/>
  <c r="V296" i="1"/>
  <c r="V1138" i="1"/>
  <c r="V1801" i="1"/>
  <c r="V220" i="1"/>
  <c r="V1254" i="1"/>
  <c r="V1190" i="1"/>
  <c r="V1493" i="1"/>
  <c r="V1051" i="1"/>
  <c r="V470" i="1"/>
  <c r="V913" i="1"/>
  <c r="V1238" i="1"/>
  <c r="V722" i="1"/>
  <c r="V302" i="1"/>
  <c r="V1168" i="1"/>
  <c r="V1119" i="1"/>
  <c r="V421" i="1"/>
  <c r="V1428" i="1"/>
  <c r="V1782" i="1"/>
  <c r="V1239" i="1"/>
  <c r="V595" i="1"/>
  <c r="V299" i="1"/>
  <c r="V610" i="1"/>
  <c r="V1496" i="1"/>
  <c r="V209" i="1"/>
  <c r="V1057" i="1"/>
  <c r="V1055" i="1"/>
  <c r="V1432" i="1"/>
  <c r="V161" i="1"/>
  <c r="V1450" i="1"/>
  <c r="V1000" i="1"/>
  <c r="V1558" i="1"/>
  <c r="V1705" i="1"/>
  <c r="V493" i="1"/>
  <c r="V1839" i="1"/>
  <c r="V1058" i="1"/>
  <c r="V987" i="1"/>
  <c r="V1314" i="1"/>
  <c r="V21" i="1"/>
  <c r="V1165" i="1"/>
  <c r="V1645" i="1"/>
  <c r="V1491" i="1"/>
  <c r="V1342" i="1"/>
  <c r="V165" i="1"/>
  <c r="V154" i="1"/>
  <c r="V276" i="1"/>
  <c r="V1096" i="1"/>
  <c r="V1836" i="1"/>
  <c r="V736" i="1"/>
  <c r="V988" i="1"/>
  <c r="V163" i="1"/>
  <c r="V903" i="1"/>
  <c r="V1885" i="1"/>
  <c r="V164" i="1"/>
  <c r="V65" i="1"/>
  <c r="V222" i="1"/>
  <c r="V1194" i="1"/>
  <c r="V1059" i="1"/>
  <c r="V223" i="1"/>
  <c r="V429" i="1"/>
  <c r="V1064" i="1"/>
  <c r="K238" i="1"/>
  <c r="L1386" i="1"/>
  <c r="L267" i="1"/>
  <c r="L863" i="1"/>
  <c r="L32" i="1"/>
  <c r="L1581" i="1"/>
  <c r="L1244" i="1"/>
  <c r="L582" i="1"/>
  <c r="L693" i="1"/>
  <c r="L1845" i="1"/>
  <c r="L217" i="1"/>
  <c r="L1723" i="1"/>
  <c r="L461" i="1"/>
  <c r="L809" i="1"/>
  <c r="L1580" i="1"/>
  <c r="L511" i="1"/>
  <c r="L497" i="1"/>
  <c r="L1505" i="1"/>
  <c r="L1847" i="1"/>
  <c r="L910" i="1"/>
  <c r="L1714" i="1"/>
  <c r="L1289" i="1"/>
  <c r="L1457" i="1"/>
  <c r="L965" i="1"/>
  <c r="L1521" i="1"/>
  <c r="L1726" i="1"/>
  <c r="L1735" i="1"/>
  <c r="L405" i="1"/>
  <c r="L1775" i="1"/>
  <c r="L751" i="1"/>
  <c r="L1370" i="1"/>
  <c r="L592" i="1"/>
  <c r="L776" i="1"/>
  <c r="L995" i="1"/>
  <c r="L1104" i="1"/>
  <c r="L1237" i="1"/>
  <c r="L1514" i="1"/>
  <c r="L301" i="1"/>
  <c r="L1092" i="1"/>
  <c r="L1535" i="1"/>
  <c r="L1838" i="1"/>
  <c r="L1811" i="1"/>
  <c r="L1909" i="1"/>
  <c r="L1211" i="1"/>
  <c r="L986" i="1"/>
  <c r="L1475" i="1"/>
  <c r="L1369" i="1"/>
  <c r="L1579" i="1"/>
  <c r="L1513" i="1"/>
  <c r="L1442" i="1"/>
  <c r="L89" i="1"/>
  <c r="L1354" i="1"/>
  <c r="L374" i="1"/>
  <c r="L1007" i="1"/>
  <c r="L1243" i="1"/>
  <c r="L883" i="1"/>
  <c r="L1913" i="1"/>
  <c r="L1788" i="1"/>
  <c r="L775" i="1"/>
  <c r="L538" i="1"/>
  <c r="L955" i="1"/>
  <c r="L1397" i="1"/>
  <c r="L384" i="1"/>
  <c r="L1545" i="1"/>
  <c r="L719" i="1"/>
  <c r="L162" i="1"/>
  <c r="L1018" i="1"/>
  <c r="L862" i="1"/>
  <c r="L566" i="1"/>
  <c r="L318" i="1"/>
  <c r="L692" i="1"/>
  <c r="L251" i="1"/>
  <c r="L1865" i="1"/>
  <c r="L27" i="1"/>
  <c r="L1864" i="1"/>
  <c r="L1419" i="1"/>
  <c r="L141" i="1"/>
  <c r="L1017" i="1"/>
  <c r="L868" i="1"/>
  <c r="L1396" i="1"/>
  <c r="L1902" i="1"/>
  <c r="L589" i="1"/>
  <c r="L812" i="1"/>
  <c r="L1749" i="1"/>
  <c r="L91" i="1"/>
  <c r="L1213" i="1"/>
  <c r="L238" i="1"/>
  <c r="L1278" i="1"/>
  <c r="L1458" i="1"/>
  <c r="V1890" i="1"/>
  <c r="V1847" i="1"/>
  <c r="V1846" i="1"/>
  <c r="V1716" i="1"/>
  <c r="V1452" i="1"/>
  <c r="V1385" i="1"/>
  <c r="V1245" i="1"/>
  <c r="V1244" i="1"/>
  <c r="V1315" i="1"/>
  <c r="V1313" i="1"/>
  <c r="V1242" i="1"/>
  <c r="V1243" i="1"/>
  <c r="V1241" i="1"/>
  <c r="V1240" i="1"/>
  <c r="V1009" i="1"/>
  <c r="V1010" i="1"/>
  <c r="V1008" i="1"/>
  <c r="V1001" i="1"/>
  <c r="V999" i="1"/>
  <c r="V1002" i="1"/>
  <c r="V1006" i="1"/>
  <c r="V1003" i="1"/>
  <c r="V1004" i="1"/>
  <c r="V1005" i="1"/>
  <c r="V1007" i="1"/>
  <c r="V919" i="1"/>
  <c r="V920" i="1"/>
  <c r="V918" i="1"/>
  <c r="V790" i="1"/>
  <c r="V863" i="1"/>
  <c r="V789" i="1"/>
  <c r="V440" i="1"/>
  <c r="V569" i="1"/>
  <c r="V439" i="1"/>
  <c r="V379" i="1"/>
  <c r="V380" i="1"/>
  <c r="V377" i="1"/>
  <c r="V381" i="1"/>
  <c r="V378" i="1"/>
  <c r="V376" i="1"/>
  <c r="V166" i="1"/>
  <c r="V1253" i="1"/>
  <c r="V111" i="1"/>
  <c r="V112" i="1"/>
  <c r="V113" i="1"/>
  <c r="V66" i="1"/>
  <c r="V1887" i="1"/>
  <c r="V1886" i="1"/>
  <c r="V911" i="1"/>
  <c r="V1889" i="1"/>
  <c r="V1840" i="1"/>
  <c r="V1841" i="1"/>
  <c r="V1171" i="1"/>
  <c r="V1837" i="1"/>
  <c r="V1838" i="1"/>
  <c r="V1646" i="1"/>
  <c r="V1644" i="1"/>
  <c r="V1647" i="1"/>
  <c r="V1648" i="1"/>
  <c r="V1569" i="1"/>
  <c r="V1449" i="1"/>
  <c r="V1567" i="1"/>
  <c r="V1568" i="1"/>
  <c r="V1505" i="1"/>
  <c r="V1448" i="1"/>
  <c r="V1445" i="1"/>
  <c r="V1446" i="1"/>
  <c r="V1447" i="1"/>
  <c r="V667" i="1"/>
  <c r="V1444" i="1"/>
  <c r="V1443" i="1"/>
  <c r="V1374" i="1"/>
  <c r="V1375" i="1"/>
  <c r="V1169" i="1"/>
  <c r="V1170" i="1"/>
  <c r="V1140" i="1"/>
  <c r="V1139" i="1"/>
  <c r="V993" i="1"/>
  <c r="V995" i="1"/>
  <c r="V994" i="1"/>
  <c r="V912" i="1"/>
  <c r="V916" i="1"/>
  <c r="V914" i="1"/>
  <c r="V915" i="1"/>
  <c r="V741" i="1"/>
  <c r="V742" i="1"/>
  <c r="V694" i="1"/>
  <c r="V695" i="1"/>
  <c r="V696" i="1"/>
  <c r="V697" i="1"/>
  <c r="V693" i="1"/>
  <c r="V690" i="1"/>
  <c r="V689" i="1"/>
  <c r="V691" i="1"/>
  <c r="V692" i="1"/>
  <c r="V626" i="1"/>
  <c r="V627" i="1"/>
  <c r="V628" i="1"/>
  <c r="V629" i="1"/>
  <c r="V567" i="1"/>
  <c r="V566" i="1"/>
  <c r="V162" i="1"/>
  <c r="V504" i="1"/>
  <c r="V304" i="1"/>
  <c r="V241" i="1"/>
  <c r="V239" i="1"/>
  <c r="V160" i="1"/>
  <c r="V106" i="1"/>
  <c r="V107" i="1"/>
  <c r="V108" i="1"/>
  <c r="V1842" i="1"/>
  <c r="V1843" i="1"/>
  <c r="V1845" i="1"/>
  <c r="V1844" i="1"/>
  <c r="V1773" i="1"/>
  <c r="V1774" i="1"/>
  <c r="V1775" i="1"/>
  <c r="V1776" i="1"/>
  <c r="V1715" i="1"/>
  <c r="V1451" i="1"/>
  <c r="V1376" i="1"/>
  <c r="V1377" i="1"/>
  <c r="V1378" i="1"/>
  <c r="V1379" i="1"/>
  <c r="V1380" i="1"/>
  <c r="V1381" i="1"/>
  <c r="V1382" i="1"/>
  <c r="V1383" i="1"/>
  <c r="V1384" i="1"/>
  <c r="V1310" i="1"/>
  <c r="V1311" i="1"/>
  <c r="V1312" i="1"/>
  <c r="V1309" i="1"/>
  <c r="V1229" i="1"/>
  <c r="V1230" i="1"/>
  <c r="V1231" i="1"/>
  <c r="V1232" i="1"/>
  <c r="V1233" i="1"/>
  <c r="V1234" i="1"/>
  <c r="V1237" i="1"/>
  <c r="V1235" i="1"/>
  <c r="V1236" i="1"/>
  <c r="V1173" i="1"/>
  <c r="V1174" i="1"/>
  <c r="V1175" i="1"/>
  <c r="V1176" i="1"/>
  <c r="V1172" i="1"/>
  <c r="V1177" i="1"/>
  <c r="V1178" i="1"/>
  <c r="V996" i="1"/>
  <c r="V997" i="1"/>
  <c r="V917" i="1"/>
  <c r="V850" i="1"/>
  <c r="V851" i="1"/>
  <c r="V852" i="1"/>
  <c r="V853" i="1"/>
  <c r="V854" i="1"/>
  <c r="V855" i="1"/>
  <c r="V862" i="1"/>
  <c r="V856" i="1"/>
  <c r="V857" i="1"/>
  <c r="V858" i="1"/>
  <c r="V859" i="1"/>
  <c r="V861" i="1"/>
  <c r="V860" i="1"/>
  <c r="V784" i="1"/>
  <c r="V785" i="1"/>
  <c r="V786" i="1"/>
  <c r="V787" i="1"/>
  <c r="V743" i="1"/>
  <c r="V568" i="1"/>
  <c r="V434" i="1"/>
  <c r="V435" i="1"/>
  <c r="V436" i="1"/>
  <c r="V438" i="1"/>
  <c r="V437" i="1"/>
  <c r="V366" i="1"/>
  <c r="V374" i="1"/>
  <c r="V367" i="1"/>
  <c r="V368" i="1"/>
  <c r="V369" i="1"/>
  <c r="V371" i="1"/>
  <c r="V372" i="1"/>
  <c r="V373" i="1"/>
  <c r="V375" i="1"/>
  <c r="V370" i="1"/>
  <c r="V305" i="1"/>
  <c r="V306" i="1"/>
  <c r="V307" i="1"/>
  <c r="V109" i="1"/>
  <c r="V110" i="1"/>
  <c r="V63" i="1"/>
  <c r="V64" i="1"/>
  <c r="V1883" i="1"/>
  <c r="V1882" i="1"/>
  <c r="V1831" i="1"/>
  <c r="V1832" i="1"/>
  <c r="V1833" i="1"/>
  <c r="V1835" i="1"/>
  <c r="V1834" i="1"/>
  <c r="V1772" i="1"/>
  <c r="V1771" i="1"/>
  <c r="V1643" i="1"/>
  <c r="V1564" i="1"/>
  <c r="V1565" i="1"/>
  <c r="V1566" i="1"/>
  <c r="V1501" i="1"/>
  <c r="V1503" i="1"/>
  <c r="V1502" i="1"/>
  <c r="V1434" i="1"/>
  <c r="V1435" i="1"/>
  <c r="V1436" i="1"/>
  <c r="V1437" i="1"/>
  <c r="V1438" i="1"/>
  <c r="V1439" i="1"/>
  <c r="V1440" i="1"/>
  <c r="V1441" i="1"/>
  <c r="V1442" i="1"/>
  <c r="V1371" i="1"/>
  <c r="V1372" i="1"/>
  <c r="V1373" i="1"/>
  <c r="V1302" i="1"/>
  <c r="V1303" i="1"/>
  <c r="V1304" i="1"/>
  <c r="V1308" i="1"/>
  <c r="V1305" i="1"/>
  <c r="V1306" i="1"/>
  <c r="V1307" i="1"/>
  <c r="V1137" i="1"/>
  <c r="V1134" i="1"/>
  <c r="V1135" i="1"/>
  <c r="V1133" i="1"/>
  <c r="V1136" i="1"/>
  <c r="V1056" i="1"/>
  <c r="V989" i="1"/>
  <c r="V990" i="1"/>
  <c r="V991" i="1"/>
  <c r="V992" i="1"/>
  <c r="V906" i="1"/>
  <c r="V908" i="1"/>
  <c r="V907" i="1"/>
  <c r="V909" i="1"/>
  <c r="V843" i="1"/>
  <c r="V844" i="1"/>
  <c r="V849" i="1"/>
  <c r="V845" i="1"/>
  <c r="V846" i="1"/>
  <c r="V847" i="1"/>
  <c r="V848" i="1"/>
  <c r="V686" i="1"/>
  <c r="V687" i="1"/>
  <c r="V688" i="1"/>
  <c r="V622" i="1"/>
  <c r="V623" i="1"/>
  <c r="V624" i="1"/>
  <c r="V625" i="1"/>
  <c r="V564" i="1"/>
  <c r="V565" i="1"/>
  <c r="V498" i="1"/>
  <c r="V499" i="1"/>
  <c r="V500" i="1"/>
  <c r="V501" i="1"/>
  <c r="V502" i="1"/>
  <c r="V503" i="1"/>
  <c r="V431" i="1"/>
  <c r="V430" i="1"/>
  <c r="V432" i="1"/>
  <c r="V433" i="1"/>
  <c r="V225" i="1"/>
  <c r="V226" i="1"/>
  <c r="V227" i="1"/>
  <c r="V236" i="1"/>
  <c r="V228" i="1"/>
  <c r="V229" i="1"/>
  <c r="V230" i="1"/>
  <c r="V231" i="1"/>
  <c r="V232" i="1"/>
  <c r="V233" i="1"/>
  <c r="V234" i="1"/>
  <c r="V235" i="1"/>
  <c r="V237" i="1"/>
  <c r="V224" i="1"/>
  <c r="V155" i="1"/>
  <c r="V156" i="1"/>
  <c r="V157" i="1"/>
  <c r="V158" i="1"/>
  <c r="V104" i="1"/>
  <c r="V105" i="1"/>
  <c r="V1913" i="1"/>
  <c r="V1829" i="1"/>
  <c r="V1707" i="1"/>
  <c r="V1708" i="1"/>
  <c r="V1709" i="1"/>
  <c r="V1630" i="1"/>
  <c r="V1631" i="1"/>
  <c r="V1632" i="1"/>
  <c r="V1633" i="1"/>
  <c r="V1634" i="1"/>
  <c r="V1551" i="1"/>
  <c r="V1552" i="1"/>
  <c r="V1553" i="1"/>
  <c r="V1554" i="1"/>
  <c r="V1555" i="1"/>
  <c r="V1556" i="1"/>
  <c r="V1498" i="1"/>
  <c r="V1497" i="1"/>
  <c r="V1499" i="1"/>
  <c r="V1293" i="1"/>
  <c r="V1294" i="1"/>
  <c r="V1292" i="1"/>
  <c r="V1291" i="1"/>
  <c r="V1296" i="1"/>
  <c r="V1297" i="1"/>
  <c r="V1298" i="1"/>
  <c r="V1295" i="1"/>
  <c r="V1223" i="1"/>
  <c r="V1227" i="1"/>
  <c r="V1224" i="1"/>
  <c r="V1225" i="1"/>
  <c r="V1222" i="1"/>
  <c r="V1226" i="1"/>
  <c r="V1130" i="1"/>
  <c r="V831" i="1"/>
  <c r="V837" i="1"/>
  <c r="V832" i="1"/>
  <c r="V833" i="1"/>
  <c r="V834" i="1"/>
  <c r="V835" i="1"/>
  <c r="V836" i="1"/>
  <c r="V781" i="1"/>
  <c r="V778" i="1"/>
  <c r="V779" i="1"/>
  <c r="V780" i="1"/>
  <c r="V733" i="1"/>
  <c r="V734" i="1"/>
  <c r="V613" i="1"/>
  <c r="V614" i="1"/>
  <c r="V615" i="1"/>
  <c r="V616" i="1"/>
  <c r="V617" i="1"/>
  <c r="V618" i="1"/>
  <c r="V620" i="1"/>
  <c r="V619" i="1"/>
  <c r="V427" i="1"/>
  <c r="V428" i="1"/>
  <c r="V361" i="1"/>
  <c r="V355" i="1"/>
  <c r="V356" i="1"/>
  <c r="V362" i="1"/>
  <c r="V357" i="1"/>
  <c r="V358" i="1"/>
  <c r="V359" i="1"/>
  <c r="V360" i="1"/>
  <c r="V297" i="1"/>
  <c r="V151" i="1"/>
  <c r="V152" i="1"/>
  <c r="V153" i="1"/>
  <c r="V59" i="1"/>
  <c r="V1878" i="1"/>
  <c r="V1870" i="1"/>
  <c r="V1871" i="1"/>
  <c r="V1872" i="1"/>
  <c r="V1873" i="1"/>
  <c r="V1874" i="1"/>
  <c r="V1875" i="1"/>
  <c r="V1876" i="1"/>
  <c r="V1877" i="1"/>
  <c r="V1822" i="1"/>
  <c r="V1823" i="1"/>
  <c r="V1824" i="1"/>
  <c r="V1825" i="1"/>
  <c r="V1761" i="1"/>
  <c r="V1760" i="1"/>
  <c r="V1762" i="1"/>
  <c r="V1695" i="1"/>
  <c r="V1696" i="1"/>
  <c r="V1697" i="1"/>
  <c r="V1701" i="1"/>
  <c r="V1702" i="1"/>
  <c r="V1698" i="1"/>
  <c r="V1699" i="1"/>
  <c r="V1700" i="1"/>
  <c r="V1694" i="1"/>
  <c r="V1628" i="1"/>
  <c r="V1629" i="1"/>
  <c r="V1429" i="1"/>
  <c r="V1430" i="1"/>
  <c r="V1365" i="1"/>
  <c r="V1360" i="1"/>
  <c r="V1361" i="1"/>
  <c r="V1362" i="1"/>
  <c r="V1363" i="1"/>
  <c r="V1364" i="1"/>
  <c r="V1281" i="1"/>
  <c r="V1282" i="1"/>
  <c r="V1283" i="1"/>
  <c r="V1284" i="1"/>
  <c r="V1285" i="1"/>
  <c r="V1286" i="1"/>
  <c r="V1214" i="1"/>
  <c r="V1215" i="1"/>
  <c r="V1216" i="1"/>
  <c r="V1217" i="1"/>
  <c r="V1218" i="1"/>
  <c r="V972" i="1"/>
  <c r="V973" i="1"/>
  <c r="V974" i="1"/>
  <c r="V975" i="1"/>
  <c r="V902" i="1"/>
  <c r="V826" i="1"/>
  <c r="V827" i="1"/>
  <c r="V828" i="1"/>
  <c r="V829" i="1"/>
  <c r="V772" i="1"/>
  <c r="V773" i="1"/>
  <c r="V775" i="1"/>
  <c r="V774" i="1"/>
  <c r="V729" i="1"/>
  <c r="V730" i="1"/>
  <c r="V731" i="1"/>
  <c r="V732" i="1"/>
  <c r="V555" i="1"/>
  <c r="V556" i="1"/>
  <c r="V557" i="1"/>
  <c r="V558" i="1"/>
  <c r="V559" i="1"/>
  <c r="V561" i="1"/>
  <c r="V562" i="1"/>
  <c r="V560" i="1"/>
  <c r="V340" i="1"/>
  <c r="V341" i="1"/>
  <c r="V342" i="1"/>
  <c r="V346" i="1"/>
  <c r="V343" i="1"/>
  <c r="V344" i="1"/>
  <c r="V345" i="1"/>
  <c r="V294" i="1"/>
  <c r="V295" i="1"/>
  <c r="V101" i="1"/>
  <c r="V53" i="1"/>
  <c r="V54" i="1"/>
  <c r="V55" i="1"/>
  <c r="V1903" i="1"/>
  <c r="V1909" i="1"/>
  <c r="V1904" i="1"/>
  <c r="V1905" i="1"/>
  <c r="V1906" i="1"/>
  <c r="V1907" i="1"/>
  <c r="V1908" i="1"/>
  <c r="V1819" i="1"/>
  <c r="V1820" i="1"/>
  <c r="V1821" i="1"/>
  <c r="V1621" i="1"/>
  <c r="V1622" i="1"/>
  <c r="V1625" i="1"/>
  <c r="V1623" i="1"/>
  <c r="V1624" i="1"/>
  <c r="V1546" i="1"/>
  <c r="V1547" i="1"/>
  <c r="V1548" i="1"/>
  <c r="V1549" i="1"/>
  <c r="V1487" i="1"/>
  <c r="V1488" i="1"/>
  <c r="V1421" i="1"/>
  <c r="V1422" i="1"/>
  <c r="V1423" i="1"/>
  <c r="V1426" i="1"/>
  <c r="V1424" i="1"/>
  <c r="V1425" i="1"/>
  <c r="V1357" i="1"/>
  <c r="V1358" i="1"/>
  <c r="V1359" i="1"/>
  <c r="V1123" i="1"/>
  <c r="V1124" i="1"/>
  <c r="V1127" i="1"/>
  <c r="V1125" i="1"/>
  <c r="V1126" i="1"/>
  <c r="V971" i="1"/>
  <c r="V671" i="1"/>
  <c r="V675" i="1"/>
  <c r="V672" i="1"/>
  <c r="V673" i="1"/>
  <c r="V674" i="1"/>
  <c r="V606" i="1"/>
  <c r="V607" i="1"/>
  <c r="V548" i="1"/>
  <c r="V549" i="1"/>
  <c r="V551" i="1"/>
  <c r="V550" i="1"/>
  <c r="V487" i="1"/>
  <c r="V488" i="1"/>
  <c r="V284" i="1"/>
  <c r="V285" i="1"/>
  <c r="V286" i="1"/>
  <c r="V287" i="1"/>
  <c r="V288" i="1"/>
  <c r="V290" i="1"/>
  <c r="V289" i="1"/>
  <c r="V210" i="1"/>
  <c r="V211" i="1"/>
  <c r="V212" i="1"/>
  <c r="V213" i="1"/>
  <c r="V214" i="1"/>
  <c r="V215" i="1"/>
  <c r="V143" i="1"/>
  <c r="V144" i="1"/>
  <c r="V145" i="1"/>
  <c r="V94" i="1"/>
  <c r="V93" i="1"/>
  <c r="V44" i="1"/>
  <c r="V45" i="1"/>
  <c r="V46" i="1"/>
  <c r="V47" i="1"/>
  <c r="V52" i="1"/>
  <c r="V48" i="1"/>
  <c r="V49" i="1"/>
  <c r="V50" i="1"/>
  <c r="V51" i="1"/>
  <c r="V1814" i="1"/>
  <c r="V1812" i="1"/>
  <c r="V1813" i="1"/>
  <c r="V1750" i="1"/>
  <c r="V1751" i="1"/>
  <c r="V1752" i="1"/>
  <c r="V1753" i="1"/>
  <c r="V1756" i="1"/>
  <c r="V1754" i="1"/>
  <c r="V1755" i="1"/>
  <c r="V1675" i="1"/>
  <c r="V1611" i="1"/>
  <c r="V1612" i="1"/>
  <c r="V1613" i="1"/>
  <c r="V1614" i="1"/>
  <c r="V1542" i="1"/>
  <c r="V1543" i="1"/>
  <c r="V1544" i="1"/>
  <c r="V1545" i="1"/>
  <c r="V1351" i="1"/>
  <c r="V1352" i="1"/>
  <c r="V1271" i="1"/>
  <c r="V1272" i="1"/>
  <c r="V1273" i="1"/>
  <c r="V1274" i="1"/>
  <c r="V1275" i="1"/>
  <c r="V1276" i="1"/>
  <c r="V1277" i="1"/>
  <c r="V1205" i="1"/>
  <c r="V1204" i="1"/>
  <c r="V1206" i="1"/>
  <c r="V1207" i="1"/>
  <c r="V1208" i="1"/>
  <c r="V1209" i="1"/>
  <c r="V1122" i="1"/>
  <c r="V1121" i="1"/>
  <c r="V897" i="1"/>
  <c r="V898" i="1"/>
  <c r="V899" i="1"/>
  <c r="V900" i="1"/>
  <c r="V901" i="1"/>
  <c r="V818" i="1"/>
  <c r="V819" i="1"/>
  <c r="V820" i="1"/>
  <c r="V821" i="1"/>
  <c r="V824" i="1"/>
  <c r="V822" i="1"/>
  <c r="V823" i="1"/>
  <c r="V825" i="1"/>
  <c r="V770" i="1"/>
  <c r="V728" i="1"/>
  <c r="V668" i="1"/>
  <c r="V669" i="1"/>
  <c r="V670" i="1"/>
  <c r="V539" i="1"/>
  <c r="V540" i="1"/>
  <c r="V541" i="1"/>
  <c r="V542" i="1"/>
  <c r="V544" i="1"/>
  <c r="V545" i="1"/>
  <c r="V543" i="1"/>
  <c r="V408" i="1"/>
  <c r="V409" i="1"/>
  <c r="V410" i="1"/>
  <c r="V411" i="1"/>
  <c r="V412" i="1"/>
  <c r="V415" i="1"/>
  <c r="V413" i="1"/>
  <c r="V416" i="1"/>
  <c r="V277" i="1"/>
  <c r="V278" i="1"/>
  <c r="V279" i="1"/>
  <c r="V280" i="1"/>
  <c r="V281" i="1"/>
  <c r="V33" i="1"/>
  <c r="V34" i="1"/>
  <c r="V35" i="1"/>
  <c r="V36" i="1"/>
  <c r="V37" i="1"/>
  <c r="V1806" i="1"/>
  <c r="V1807" i="1"/>
  <c r="V1808" i="1"/>
  <c r="V1740" i="1"/>
  <c r="V1741" i="1"/>
  <c r="V1742" i="1"/>
  <c r="V1747" i="1"/>
  <c r="V1743" i="1"/>
  <c r="V1744" i="1"/>
  <c r="V1745" i="1"/>
  <c r="V1674" i="1"/>
  <c r="V1409" i="1"/>
  <c r="V1350" i="1"/>
  <c r="V1033" i="1"/>
  <c r="V1034" i="1"/>
  <c r="V1035" i="1"/>
  <c r="V1036" i="1"/>
  <c r="V1037" i="1"/>
  <c r="V1038" i="1"/>
  <c r="V957" i="1"/>
  <c r="V958" i="1"/>
  <c r="V959" i="1"/>
  <c r="V960" i="1"/>
  <c r="V956" i="1"/>
  <c r="V961" i="1"/>
  <c r="V962" i="1"/>
  <c r="V963" i="1"/>
  <c r="V964" i="1"/>
  <c r="V895" i="1"/>
  <c r="V896" i="1"/>
  <c r="V596" i="1"/>
  <c r="V597" i="1"/>
  <c r="V598" i="1"/>
  <c r="V599" i="1"/>
  <c r="V600" i="1"/>
  <c r="V601" i="1"/>
  <c r="V533" i="1"/>
  <c r="V534" i="1"/>
  <c r="V535" i="1"/>
  <c r="V536" i="1"/>
  <c r="V476" i="1"/>
  <c r="V477" i="1"/>
  <c r="V478" i="1"/>
  <c r="V399" i="1"/>
  <c r="V400" i="1"/>
  <c r="V401" i="1"/>
  <c r="V402" i="1"/>
  <c r="V403" i="1"/>
  <c r="V329" i="1"/>
  <c r="V330" i="1"/>
  <c r="V331" i="1"/>
  <c r="V332" i="1"/>
  <c r="V333" i="1"/>
  <c r="V334" i="1"/>
  <c r="V134" i="1"/>
  <c r="V135" i="1"/>
  <c r="V136" i="1"/>
  <c r="V28" i="1"/>
  <c r="V29" i="1"/>
  <c r="V30" i="1"/>
  <c r="V31" i="1"/>
  <c r="V1895" i="1"/>
  <c r="V1896" i="1"/>
  <c r="V1897" i="1"/>
  <c r="V1898" i="1"/>
  <c r="V1859" i="1"/>
  <c r="V1860" i="1"/>
  <c r="V1866" i="1"/>
  <c r="V1861" i="1"/>
  <c r="V1867" i="1"/>
  <c r="V1863" i="1"/>
  <c r="V1865" i="1"/>
  <c r="V1864" i="1"/>
  <c r="V1862" i="1"/>
  <c r="V1735" i="1"/>
  <c r="V1667" i="1"/>
  <c r="V1668" i="1"/>
  <c r="V1669" i="1"/>
  <c r="V1670" i="1"/>
  <c r="V1671" i="1"/>
  <c r="V1672" i="1"/>
  <c r="V1673" i="1"/>
  <c r="V1601" i="1"/>
  <c r="V1602" i="1"/>
  <c r="V1603" i="1"/>
  <c r="V1604" i="1"/>
  <c r="V1605" i="1"/>
  <c r="V1606" i="1"/>
  <c r="V1607" i="1"/>
  <c r="V1479" i="1"/>
  <c r="V1480" i="1"/>
  <c r="V1481" i="1"/>
  <c r="V1478" i="1"/>
  <c r="V1402" i="1"/>
  <c r="V1403" i="1"/>
  <c r="V1404" i="1"/>
  <c r="V1405" i="1"/>
  <c r="V1406" i="1"/>
  <c r="V1407" i="1"/>
  <c r="V1408" i="1"/>
  <c r="V1195" i="1"/>
  <c r="V1196" i="1"/>
  <c r="V1197" i="1"/>
  <c r="V1198" i="1"/>
  <c r="V1199" i="1"/>
  <c r="V1200" i="1"/>
  <c r="V1201" i="1"/>
  <c r="V1113" i="1"/>
  <c r="V1116" i="1"/>
  <c r="V1117" i="1"/>
  <c r="V1114" i="1"/>
  <c r="V1115" i="1"/>
  <c r="V1019" i="1"/>
  <c r="V1020" i="1"/>
  <c r="V1021" i="1"/>
  <c r="V1022" i="1"/>
  <c r="V1023" i="1"/>
  <c r="V1024" i="1"/>
  <c r="V1025" i="1"/>
  <c r="V1026" i="1"/>
  <c r="V1027" i="1"/>
  <c r="V1028" i="1"/>
  <c r="V1029" i="1"/>
  <c r="V948" i="1"/>
  <c r="V949" i="1"/>
  <c r="V950" i="1"/>
  <c r="V951" i="1"/>
  <c r="V955" i="1"/>
  <c r="V952" i="1"/>
  <c r="V953" i="1"/>
  <c r="V761" i="1"/>
  <c r="V762" i="1"/>
  <c r="V763" i="1"/>
  <c r="V764" i="1"/>
  <c r="V652" i="1"/>
  <c r="V653" i="1"/>
  <c r="V654" i="1"/>
  <c r="V655" i="1"/>
  <c r="V660" i="1"/>
  <c r="V656" i="1"/>
  <c r="V657" i="1"/>
  <c r="V658" i="1"/>
  <c r="V659" i="1"/>
  <c r="V525" i="1"/>
  <c r="V526" i="1"/>
  <c r="V527" i="1"/>
  <c r="V528" i="1"/>
  <c r="V529" i="1"/>
  <c r="V530" i="1"/>
  <c r="V531" i="1"/>
  <c r="V396" i="1"/>
  <c r="V320" i="1"/>
  <c r="V321" i="1"/>
  <c r="V322" i="1"/>
  <c r="V324" i="1"/>
  <c r="V323" i="1"/>
  <c r="V268" i="1"/>
  <c r="V269" i="1"/>
  <c r="V270" i="1"/>
  <c r="V274" i="1"/>
  <c r="V271" i="1"/>
  <c r="V272" i="1"/>
  <c r="V275" i="1"/>
  <c r="V273" i="1"/>
  <c r="V132" i="1"/>
  <c r="V126" i="1"/>
  <c r="V130" i="1"/>
  <c r="V131" i="1"/>
  <c r="V127" i="1"/>
  <c r="V128" i="1"/>
  <c r="V129" i="1"/>
  <c r="V90" i="1"/>
  <c r="V1793" i="1"/>
  <c r="V1794" i="1"/>
  <c r="V1795" i="1"/>
  <c r="V1796" i="1"/>
  <c r="V1797" i="1"/>
  <c r="V1798" i="1"/>
  <c r="V1727" i="1"/>
  <c r="V1728" i="1"/>
  <c r="V1729" i="1"/>
  <c r="V1730" i="1"/>
  <c r="V1657" i="1"/>
  <c r="V1658" i="1"/>
  <c r="V1659" i="1"/>
  <c r="V1660" i="1"/>
  <c r="V1661" i="1"/>
  <c r="V1662" i="1"/>
  <c r="V1593" i="1"/>
  <c r="V1594" i="1"/>
  <c r="V1595" i="1"/>
  <c r="V1596" i="1"/>
  <c r="V1597" i="1"/>
  <c r="V1598" i="1"/>
  <c r="V1343" i="1"/>
  <c r="V1344" i="1"/>
  <c r="V1261" i="1"/>
  <c r="V1260" i="1"/>
  <c r="V1184" i="1"/>
  <c r="V1185" i="1"/>
  <c r="V1186" i="1"/>
  <c r="V1187" i="1"/>
  <c r="V1188" i="1"/>
  <c r="V1189" i="1"/>
  <c r="V1183" i="1"/>
  <c r="V1156" i="1"/>
  <c r="V1154" i="1"/>
  <c r="V1157" i="1"/>
  <c r="V1155" i="1"/>
  <c r="V1105" i="1"/>
  <c r="V1106" i="1"/>
  <c r="V1107" i="1"/>
  <c r="V1108" i="1"/>
  <c r="V1109" i="1"/>
  <c r="V1110" i="1"/>
  <c r="V1112" i="1"/>
  <c r="V1111" i="1"/>
  <c r="V944" i="1"/>
  <c r="V890" i="1"/>
  <c r="V801" i="1"/>
  <c r="V802" i="1"/>
  <c r="V803" i="1"/>
  <c r="V804" i="1"/>
  <c r="V805" i="1"/>
  <c r="V752" i="1"/>
  <c r="V714" i="1"/>
  <c r="V715" i="1"/>
  <c r="V719" i="1"/>
  <c r="V716" i="1"/>
  <c r="V717" i="1"/>
  <c r="V718" i="1"/>
  <c r="V648" i="1"/>
  <c r="V649" i="1"/>
  <c r="V650" i="1"/>
  <c r="V651" i="1"/>
  <c r="V464" i="1"/>
  <c r="V469" i="1"/>
  <c r="V465" i="1"/>
  <c r="V466" i="1"/>
  <c r="V467" i="1"/>
  <c r="V468" i="1"/>
  <c r="V392" i="1"/>
  <c r="V309" i="1"/>
  <c r="V310" i="1"/>
  <c r="V311" i="1"/>
  <c r="V312" i="1"/>
  <c r="V313" i="1"/>
  <c r="V267" i="1"/>
  <c r="V261" i="1"/>
  <c r="V262" i="1"/>
  <c r="V263" i="1"/>
  <c r="V264" i="1"/>
  <c r="V265" i="1"/>
  <c r="V266" i="1"/>
  <c r="V197" i="1"/>
  <c r="V198" i="1"/>
  <c r="V199" i="1"/>
  <c r="V200" i="1"/>
  <c r="V12" i="1"/>
  <c r="V13" i="1"/>
  <c r="V14" i="1"/>
  <c r="V15" i="1"/>
  <c r="V16" i="1"/>
  <c r="V19" i="1"/>
  <c r="V17" i="1"/>
  <c r="V18" i="1"/>
  <c r="V1891" i="1"/>
  <c r="V1892" i="1"/>
  <c r="V1786" i="1"/>
  <c r="V1787" i="1"/>
  <c r="V1788" i="1"/>
  <c r="V1522" i="1"/>
  <c r="V1523" i="1"/>
  <c r="V1524" i="1"/>
  <c r="V1525" i="1"/>
  <c r="V1526" i="1"/>
  <c r="V1473" i="1"/>
  <c r="V1460" i="1"/>
  <c r="V1461" i="1"/>
  <c r="V1462" i="1"/>
  <c r="V1463" i="1"/>
  <c r="V1464" i="1"/>
  <c r="V1465" i="1"/>
  <c r="V1466" i="1"/>
  <c r="V1467" i="1"/>
  <c r="V1459" i="1"/>
  <c r="V1472" i="1"/>
  <c r="V1458" i="1"/>
  <c r="V1470" i="1"/>
  <c r="V1468" i="1"/>
  <c r="V1471" i="1"/>
  <c r="V1469" i="1"/>
  <c r="V1391" i="1"/>
  <c r="V1392" i="1"/>
  <c r="V1393" i="1"/>
  <c r="V1255" i="1"/>
  <c r="V1256" i="1"/>
  <c r="V1257" i="1"/>
  <c r="V1259" i="1"/>
  <c r="V1258" i="1"/>
  <c r="V1152" i="1"/>
  <c r="V1101" i="1"/>
  <c r="V1100" i="1"/>
  <c r="V1013" i="1"/>
  <c r="V1014" i="1"/>
  <c r="V1015" i="1"/>
  <c r="V934" i="1"/>
  <c r="V935" i="1"/>
  <c r="V936" i="1"/>
  <c r="V937" i="1"/>
  <c r="V885" i="1"/>
  <c r="V886" i="1"/>
  <c r="V887" i="1"/>
  <c r="V796" i="1"/>
  <c r="V797" i="1"/>
  <c r="V798" i="1"/>
  <c r="V799" i="1"/>
  <c r="V637" i="1"/>
  <c r="V638" i="1"/>
  <c r="V639" i="1"/>
  <c r="V640" i="1"/>
  <c r="V641" i="1"/>
  <c r="V642" i="1"/>
  <c r="V643" i="1"/>
  <c r="V575" i="1"/>
  <c r="V576" i="1"/>
  <c r="V577" i="1"/>
  <c r="V578" i="1"/>
  <c r="V579" i="1"/>
  <c r="V580" i="1"/>
  <c r="V582" i="1"/>
  <c r="V581" i="1"/>
  <c r="V514" i="1"/>
  <c r="V515" i="1"/>
  <c r="V516" i="1"/>
  <c r="V517" i="1"/>
  <c r="V518" i="1"/>
  <c r="V519" i="1"/>
  <c r="V520" i="1"/>
  <c r="V459" i="1"/>
  <c r="V458" i="1"/>
  <c r="V390" i="1"/>
  <c r="V391" i="1"/>
  <c r="V260" i="1"/>
  <c r="V190" i="1"/>
  <c r="V191" i="1"/>
  <c r="V121" i="1"/>
  <c r="V122" i="1"/>
  <c r="V123" i="1"/>
  <c r="V124" i="1"/>
  <c r="V125" i="1"/>
  <c r="V76" i="1"/>
  <c r="V77" i="1"/>
  <c r="V78" i="1"/>
  <c r="V79" i="1"/>
  <c r="V10" i="1"/>
  <c r="V1785" i="1"/>
  <c r="V1783" i="1"/>
  <c r="V1784" i="1"/>
  <c r="V1584" i="1"/>
  <c r="V1585" i="1"/>
  <c r="V1586" i="1"/>
  <c r="V1587" i="1"/>
  <c r="V1588" i="1"/>
  <c r="V1516" i="1"/>
  <c r="V1517" i="1"/>
  <c r="V1518" i="1"/>
  <c r="V1453" i="1"/>
  <c r="V1321" i="1"/>
  <c r="V1322" i="1"/>
  <c r="V1324" i="1"/>
  <c r="V1323" i="1"/>
  <c r="V1146" i="1"/>
  <c r="V1147" i="1"/>
  <c r="V1093" i="1"/>
  <c r="V1094" i="1"/>
  <c r="V1095" i="1"/>
  <c r="V1012" i="1"/>
  <c r="V921" i="1"/>
  <c r="V922" i="1"/>
  <c r="V923" i="1"/>
  <c r="V925" i="1"/>
  <c r="V924" i="1"/>
  <c r="V877" i="1"/>
  <c r="V878" i="1"/>
  <c r="V883" i="1"/>
  <c r="V879" i="1"/>
  <c r="V880" i="1"/>
  <c r="V881" i="1"/>
  <c r="V882" i="1"/>
  <c r="V711" i="1"/>
  <c r="V710" i="1"/>
  <c r="V708" i="1"/>
  <c r="V709" i="1"/>
  <c r="V633" i="1"/>
  <c r="V634" i="1"/>
  <c r="V570" i="1"/>
  <c r="V571" i="1"/>
  <c r="V572" i="1"/>
  <c r="V573" i="1"/>
  <c r="V448" i="1"/>
  <c r="V449" i="1"/>
  <c r="V450" i="1"/>
  <c r="V451" i="1"/>
  <c r="V308" i="1"/>
  <c r="V253" i="1"/>
  <c r="V257" i="1"/>
  <c r="V254" i="1"/>
  <c r="V255" i="1"/>
  <c r="V256" i="1"/>
  <c r="V176" i="1"/>
  <c r="V177" i="1"/>
  <c r="V178" i="1"/>
  <c r="V179" i="1"/>
  <c r="V180" i="1"/>
  <c r="V181" i="1"/>
  <c r="V182" i="1"/>
  <c r="V183" i="1"/>
  <c r="V114" i="1"/>
  <c r="V115" i="1"/>
  <c r="V116" i="1"/>
  <c r="V117" i="1"/>
  <c r="V118" i="1"/>
  <c r="V119" i="1"/>
  <c r="V71" i="1"/>
  <c r="V67" i="1"/>
  <c r="V68" i="1"/>
  <c r="V72" i="1"/>
  <c r="V69" i="1"/>
  <c r="V70" i="1"/>
  <c r="V3" i="1"/>
  <c r="V1777" i="1"/>
  <c r="V1778" i="1"/>
  <c r="V1780" i="1"/>
  <c r="V1779" i="1"/>
  <c r="V1717" i="1"/>
  <c r="V1718" i="1"/>
  <c r="V1719" i="1"/>
  <c r="V1720" i="1"/>
  <c r="V1723" i="1"/>
  <c r="V1721" i="1"/>
  <c r="V1722" i="1"/>
  <c r="V1649" i="1"/>
  <c r="V1655" i="1"/>
  <c r="V1650" i="1"/>
  <c r="V1651" i="1"/>
  <c r="V1652" i="1"/>
  <c r="V1653" i="1"/>
  <c r="V1654" i="1"/>
  <c r="V1570" i="1"/>
  <c r="V1571" i="1"/>
  <c r="V1572" i="1"/>
  <c r="V1574" i="1"/>
  <c r="V1573" i="1"/>
  <c r="V1507" i="1"/>
  <c r="V1508" i="1"/>
  <c r="V1316" i="1"/>
  <c r="V1317" i="1"/>
  <c r="V1246" i="1"/>
  <c r="V1179" i="1"/>
  <c r="V1180" i="1"/>
  <c r="V1181" i="1"/>
  <c r="V1141" i="1"/>
  <c r="V1142" i="1"/>
  <c r="V1143" i="1"/>
  <c r="V1080" i="1"/>
  <c r="V1071" i="1"/>
  <c r="V1073" i="1"/>
  <c r="V1069" i="1"/>
  <c r="V1074" i="1"/>
  <c r="V1065" i="1"/>
  <c r="V1066" i="1"/>
  <c r="V1063" i="1"/>
  <c r="V1072" i="1"/>
  <c r="V1086" i="1"/>
  <c r="V1082" i="1"/>
  <c r="V1081" i="1"/>
  <c r="V1087" i="1"/>
  <c r="V1070" i="1"/>
  <c r="V1084" i="1"/>
  <c r="V1083" i="1"/>
  <c r="V1079" i="1"/>
  <c r="V1078" i="1"/>
  <c r="V1067" i="1"/>
  <c r="V1077" i="1"/>
  <c r="V1068" i="1"/>
  <c r="V1060" i="1"/>
  <c r="V1085" i="1"/>
  <c r="V1075" i="1"/>
  <c r="V1076" i="1"/>
  <c r="V870" i="1"/>
  <c r="V865" i="1"/>
  <c r="V868" i="1"/>
  <c r="V864" i="1"/>
  <c r="V866" i="1"/>
  <c r="V867" i="1"/>
  <c r="V871" i="1"/>
  <c r="V869" i="1"/>
  <c r="V791" i="1"/>
  <c r="V698" i="1"/>
  <c r="V630" i="1"/>
  <c r="V631" i="1"/>
  <c r="V505" i="1"/>
  <c r="V506" i="1"/>
  <c r="V507" i="1"/>
  <c r="V508" i="1"/>
  <c r="V441" i="1"/>
  <c r="V442" i="1"/>
  <c r="V168" i="1"/>
  <c r="V169" i="1"/>
  <c r="V170" i="1"/>
  <c r="V171" i="1"/>
  <c r="V788" i="1"/>
  <c r="V800" i="1"/>
  <c r="V910" i="1"/>
  <c r="V905" i="1"/>
  <c r="V238" i="1"/>
  <c r="V1500" i="1"/>
  <c r="V1848" i="1"/>
  <c r="V621" i="1"/>
  <c r="V735" i="1"/>
  <c r="V1280" i="1"/>
  <c r="V1746" i="1"/>
  <c r="V724" i="1"/>
  <c r="V1166" i="1"/>
  <c r="V723" i="1"/>
  <c r="V532" i="1"/>
  <c r="V137" i="1"/>
  <c r="V954" i="1"/>
  <c r="V138" i="1"/>
  <c r="V1203" i="1"/>
  <c r="V201" i="1"/>
  <c r="V1386" i="1"/>
  <c r="V414" i="1"/>
  <c r="V1202" i="1"/>
  <c r="V938" i="1"/>
  <c r="V810" i="1"/>
  <c r="V1599" i="1"/>
  <c r="V1011" i="1"/>
  <c r="V159" i="1"/>
  <c r="V1830" i="1"/>
  <c r="V1770" i="1"/>
  <c r="V1769" i="1"/>
  <c r="V1768" i="1"/>
  <c r="V1714" i="1"/>
  <c r="V1710" i="1"/>
  <c r="V1711" i="1"/>
  <c r="V1712" i="1"/>
  <c r="V1713" i="1"/>
  <c r="V1635" i="1"/>
  <c r="V1637" i="1"/>
  <c r="V1636" i="1"/>
  <c r="V1638" i="1"/>
  <c r="V1639" i="1"/>
  <c r="V1640" i="1"/>
  <c r="V1641" i="1"/>
  <c r="V1642" i="1"/>
  <c r="V1559" i="1"/>
  <c r="V1560" i="1"/>
  <c r="V1561" i="1"/>
  <c r="V1562" i="1"/>
  <c r="V1563" i="1"/>
  <c r="V1369" i="1"/>
  <c r="V1370" i="1"/>
  <c r="V1300" i="1"/>
  <c r="V1299" i="1"/>
  <c r="V1301" i="1"/>
  <c r="V1228" i="1"/>
  <c r="V1167" i="1"/>
  <c r="V1132" i="1"/>
  <c r="V1131" i="1"/>
  <c r="V904" i="1"/>
  <c r="V840" i="1"/>
  <c r="V841" i="1"/>
  <c r="V842" i="1"/>
  <c r="V839" i="1"/>
  <c r="V782" i="1"/>
  <c r="V783" i="1"/>
  <c r="V740" i="1"/>
  <c r="V739" i="1"/>
  <c r="V737" i="1"/>
  <c r="V738" i="1"/>
  <c r="V685" i="1"/>
  <c r="V563" i="1"/>
  <c r="V495" i="1"/>
  <c r="V496" i="1"/>
  <c r="V497" i="1"/>
  <c r="V365" i="1"/>
  <c r="V364" i="1"/>
  <c r="V303" i="1"/>
  <c r="V42" i="1"/>
  <c r="V142" i="1"/>
  <c r="V1799" i="1"/>
  <c r="V9" i="1"/>
  <c r="V363" i="1"/>
  <c r="V300" i="1"/>
  <c r="V301" i="1"/>
  <c r="V298" i="1"/>
  <c r="V219" i="1"/>
  <c r="V221" i="1"/>
  <c r="V218" i="1"/>
  <c r="V60" i="1"/>
  <c r="V61" i="1"/>
  <c r="V62" i="1"/>
  <c r="V1879" i="1"/>
  <c r="V1880" i="1"/>
  <c r="V1826" i="1"/>
  <c r="V830" i="1"/>
  <c r="V1881" i="1"/>
  <c r="V1828" i="1"/>
  <c r="V1827" i="1"/>
  <c r="V1766" i="1"/>
  <c r="V1767" i="1"/>
  <c r="V1765" i="1"/>
  <c r="V1764" i="1"/>
  <c r="V1763" i="1"/>
  <c r="V1704" i="1"/>
  <c r="V1706" i="1"/>
  <c r="V1495" i="1"/>
  <c r="V1494" i="1"/>
  <c r="V1433" i="1"/>
  <c r="V1431" i="1"/>
  <c r="V1366" i="1"/>
  <c r="V1368" i="1"/>
  <c r="V1367" i="1"/>
  <c r="V1290" i="1"/>
  <c r="V1289" i="1"/>
  <c r="V1287" i="1"/>
  <c r="V1288" i="1"/>
  <c r="V1220" i="1"/>
  <c r="V1221" i="1"/>
  <c r="V1052" i="1"/>
  <c r="V1050" i="1"/>
  <c r="V1053" i="1"/>
  <c r="V1054" i="1"/>
  <c r="V684" i="1"/>
  <c r="V1219" i="1"/>
  <c r="V1049" i="1"/>
  <c r="V1048" i="1"/>
  <c r="V980" i="1"/>
  <c r="V981" i="1"/>
  <c r="V982" i="1"/>
  <c r="V986" i="1"/>
  <c r="V979" i="1"/>
  <c r="V983" i="1"/>
  <c r="V984" i="1"/>
  <c r="V977" i="1"/>
  <c r="V985" i="1"/>
  <c r="V978" i="1"/>
  <c r="V976" i="1"/>
  <c r="V777" i="1"/>
  <c r="V494" i="1"/>
  <c r="V776" i="1"/>
  <c r="V683" i="1"/>
  <c r="V682" i="1"/>
  <c r="V611" i="1"/>
  <c r="V612" i="1"/>
  <c r="V609" i="1"/>
  <c r="V838" i="1"/>
  <c r="V490" i="1"/>
  <c r="V492" i="1"/>
  <c r="V491" i="1"/>
  <c r="V426" i="1"/>
  <c r="V424" i="1"/>
  <c r="V425" i="1"/>
  <c r="V420" i="1"/>
  <c r="V423" i="1"/>
  <c r="V422" i="1"/>
  <c r="V354" i="1"/>
  <c r="V347" i="1"/>
  <c r="V350" i="1"/>
  <c r="V349" i="1"/>
  <c r="V351" i="1"/>
  <c r="V352" i="1"/>
  <c r="V353" i="1"/>
  <c r="V348" i="1"/>
  <c r="V149" i="1"/>
  <c r="V150" i="1"/>
  <c r="V102" i="1"/>
  <c r="V103" i="1"/>
  <c r="V57" i="1"/>
  <c r="V58" i="1"/>
  <c r="V1911" i="1"/>
  <c r="V1910" i="1"/>
  <c r="V417" i="1"/>
  <c r="V1575" i="1"/>
  <c r="V56" i="1"/>
  <c r="V1912" i="1"/>
  <c r="V1691" i="1"/>
  <c r="V1692" i="1"/>
  <c r="V1693" i="1"/>
  <c r="V1626" i="1"/>
  <c r="V1627" i="1"/>
  <c r="V1550" i="1"/>
  <c r="V1492" i="1"/>
  <c r="V1489" i="1"/>
  <c r="V1490" i="1"/>
  <c r="V1427" i="1"/>
  <c r="V1212" i="1"/>
  <c r="V1213" i="1"/>
  <c r="V1129" i="1"/>
  <c r="V771" i="1"/>
  <c r="V681" i="1"/>
  <c r="V680" i="1"/>
  <c r="V1164" i="1"/>
  <c r="V100" i="1"/>
  <c r="V678" i="1"/>
  <c r="V679" i="1"/>
  <c r="V677" i="1"/>
  <c r="V676" i="1"/>
  <c r="V608" i="1"/>
  <c r="V554" i="1"/>
  <c r="V552" i="1"/>
  <c r="V553" i="1"/>
  <c r="V339" i="1"/>
  <c r="V291" i="1"/>
  <c r="V292" i="1"/>
  <c r="V293" i="1"/>
  <c r="V216" i="1"/>
  <c r="V217" i="1"/>
  <c r="V146" i="1"/>
  <c r="V147" i="1"/>
  <c r="V148" i="1"/>
  <c r="V96" i="1"/>
  <c r="V97" i="1"/>
  <c r="V98" i="1"/>
  <c r="V99" i="1"/>
  <c r="V95" i="1"/>
  <c r="V1869" i="1"/>
  <c r="V1676" i="1"/>
  <c r="V603" i="1"/>
  <c r="V1759" i="1"/>
  <c r="V1815" i="1"/>
  <c r="V1816" i="1"/>
  <c r="V1817" i="1"/>
  <c r="V1818" i="1"/>
  <c r="V1757" i="1"/>
  <c r="V1758" i="1"/>
  <c r="V1687" i="1"/>
  <c r="V1690" i="1"/>
  <c r="V1688" i="1"/>
  <c r="V1689" i="1"/>
  <c r="V1678" i="1"/>
  <c r="V1679" i="1"/>
  <c r="V1680" i="1"/>
  <c r="V1681" i="1"/>
  <c r="V1682" i="1"/>
  <c r="V1683" i="1"/>
  <c r="V1684" i="1"/>
  <c r="V1685" i="1"/>
  <c r="V1677" i="1"/>
  <c r="V1686" i="1"/>
  <c r="V1618" i="1"/>
  <c r="V1619" i="1"/>
  <c r="V1617" i="1"/>
  <c r="V1620" i="1"/>
  <c r="V92" i="1"/>
  <c r="V1615" i="1"/>
  <c r="V1616" i="1"/>
  <c r="V1356" i="1"/>
  <c r="V1420" i="1"/>
  <c r="V1355" i="1"/>
  <c r="V1279" i="1"/>
  <c r="V1354" i="1"/>
  <c r="V1353" i="1"/>
  <c r="V1211" i="1"/>
  <c r="V1210" i="1"/>
  <c r="V1278" i="1"/>
  <c r="V1163" i="1"/>
  <c r="V604" i="1"/>
  <c r="V605" i="1"/>
  <c r="V546" i="1"/>
  <c r="V547" i="1"/>
  <c r="V483" i="1"/>
  <c r="V484" i="1"/>
  <c r="V485" i="1"/>
  <c r="V486" i="1"/>
  <c r="V418" i="1"/>
  <c r="V336" i="1"/>
  <c r="V337" i="1"/>
  <c r="V338" i="1"/>
  <c r="V1856" i="1"/>
  <c r="V43" i="1"/>
  <c r="V283" i="1"/>
  <c r="V602" i="1"/>
  <c r="V91" i="1"/>
  <c r="V282" i="1"/>
  <c r="V40" i="1"/>
  <c r="V41" i="1"/>
  <c r="V1809" i="1"/>
  <c r="V1811" i="1"/>
  <c r="V1810" i="1"/>
  <c r="V1748" i="1"/>
  <c r="V1749" i="1"/>
  <c r="V1537" i="1"/>
  <c r="V1538" i="1"/>
  <c r="V1539" i="1"/>
  <c r="V1410" i="1"/>
  <c r="V1411" i="1"/>
  <c r="V1412" i="1"/>
  <c r="V1413" i="1"/>
  <c r="V1414" i="1"/>
  <c r="V1415" i="1"/>
  <c r="V1270" i="1"/>
  <c r="V1120" i="1"/>
  <c r="V38" i="1"/>
  <c r="V39" i="1"/>
  <c r="V1540" i="1"/>
  <c r="V1541" i="1"/>
  <c r="V1419" i="1"/>
  <c r="V1416" i="1"/>
  <c r="V1417" i="1"/>
  <c r="V1418" i="1"/>
  <c r="V1040" i="1"/>
  <c r="V1039" i="1"/>
  <c r="V1041" i="1"/>
  <c r="V1042" i="1"/>
  <c r="V1043" i="1"/>
  <c r="V1044" i="1"/>
  <c r="V1045" i="1"/>
  <c r="V1046" i="1"/>
  <c r="V1047" i="1"/>
  <c r="V970" i="1"/>
  <c r="V969" i="1"/>
  <c r="V966" i="1"/>
  <c r="V967" i="1"/>
  <c r="V968" i="1"/>
  <c r="V1902" i="1"/>
  <c r="V965" i="1"/>
  <c r="V816" i="1"/>
  <c r="V817" i="1"/>
  <c r="V664" i="1"/>
  <c r="V665" i="1"/>
  <c r="V666" i="1"/>
  <c r="V32" i="1"/>
  <c r="V815" i="1"/>
  <c r="V538" i="1"/>
  <c r="V482" i="1"/>
  <c r="V661" i="1"/>
  <c r="V662" i="1"/>
  <c r="V663" i="1"/>
  <c r="V479" i="1"/>
  <c r="V481" i="1"/>
  <c r="V480" i="1"/>
  <c r="V407" i="1"/>
  <c r="V406" i="1"/>
  <c r="V537" i="1"/>
  <c r="V405" i="1"/>
  <c r="V404" i="1"/>
  <c r="V203" i="1"/>
  <c r="V204" i="1"/>
  <c r="V205" i="1"/>
  <c r="V206" i="1"/>
  <c r="V207" i="1"/>
  <c r="V208" i="1"/>
  <c r="V140" i="1"/>
  <c r="V141" i="1"/>
  <c r="V1899" i="1"/>
  <c r="V1900" i="1"/>
  <c r="V1901" i="1"/>
  <c r="V1868" i="1"/>
  <c r="V139" i="1"/>
  <c r="V1736" i="1"/>
  <c r="V1737" i="1"/>
  <c r="V1738" i="1"/>
  <c r="V1739" i="1"/>
  <c r="V1610" i="1"/>
  <c r="V1608" i="1"/>
  <c r="V1535" i="1"/>
  <c r="V1533" i="1"/>
  <c r="V1534" i="1"/>
  <c r="V1484" i="1"/>
  <c r="V1486" i="1"/>
  <c r="V1485" i="1"/>
  <c r="V419" i="1"/>
  <c r="V1483" i="1"/>
  <c r="V1482" i="1"/>
  <c r="V1264" i="1"/>
  <c r="V1265" i="1"/>
  <c r="V1266" i="1"/>
  <c r="V1267" i="1"/>
  <c r="V1269" i="1"/>
  <c r="V1268" i="1"/>
  <c r="V1161" i="1"/>
  <c r="V1160" i="1"/>
  <c r="V1162" i="1"/>
  <c r="V1159" i="1"/>
  <c r="V1118" i="1"/>
  <c r="V1030" i="1"/>
  <c r="V1032" i="1"/>
  <c r="V1031" i="1"/>
  <c r="V769" i="1"/>
  <c r="V811" i="1"/>
  <c r="V812" i="1"/>
  <c r="V813" i="1"/>
  <c r="V814" i="1"/>
  <c r="V768" i="1"/>
  <c r="V766" i="1"/>
  <c r="V765" i="1"/>
  <c r="V594" i="1"/>
  <c r="V767" i="1"/>
  <c r="V727" i="1"/>
  <c r="V725" i="1"/>
  <c r="V726" i="1"/>
  <c r="V593" i="1"/>
  <c r="V398" i="1"/>
  <c r="V397" i="1"/>
  <c r="V325" i="1"/>
  <c r="V326" i="1"/>
  <c r="V328" i="1"/>
  <c r="V327" i="1"/>
  <c r="V202" i="1"/>
  <c r="V133" i="1"/>
  <c r="V1855" i="1"/>
  <c r="V1857" i="1"/>
  <c r="V1858" i="1"/>
  <c r="V1805" i="1"/>
  <c r="V1802" i="1"/>
  <c r="V1803" i="1"/>
  <c r="V1804" i="1"/>
  <c r="V1800" i="1"/>
  <c r="V1731" i="1"/>
  <c r="V1734" i="1"/>
  <c r="V1732" i="1"/>
  <c r="V1733" i="1"/>
  <c r="V1665" i="1"/>
  <c r="V1666" i="1"/>
  <c r="V1663" i="1"/>
  <c r="V1664" i="1"/>
  <c r="V1600" i="1"/>
  <c r="V1399" i="1"/>
  <c r="V1401" i="1"/>
  <c r="V1400" i="1"/>
  <c r="V1193" i="1"/>
  <c r="V1347" i="1"/>
  <c r="V1348" i="1"/>
  <c r="V1349" i="1"/>
  <c r="V1345" i="1"/>
  <c r="V1346" i="1"/>
  <c r="V1263" i="1"/>
  <c r="V1262" i="1"/>
  <c r="V1191" i="1"/>
  <c r="V1192" i="1"/>
  <c r="V1158" i="1"/>
  <c r="V945" i="1"/>
  <c r="V947" i="1"/>
  <c r="V946" i="1"/>
  <c r="V892" i="1"/>
  <c r="V891" i="1"/>
  <c r="V893" i="1"/>
  <c r="V894" i="1"/>
  <c r="V807" i="1"/>
  <c r="V806" i="1"/>
  <c r="V809" i="1"/>
  <c r="V808" i="1"/>
  <c r="V760" i="1"/>
  <c r="V757" i="1"/>
  <c r="V758" i="1"/>
  <c r="V759" i="1"/>
  <c r="V753" i="1"/>
  <c r="V754" i="1"/>
  <c r="V755" i="1"/>
  <c r="V756" i="1"/>
  <c r="V721" i="1"/>
  <c r="V720" i="1"/>
  <c r="V592" i="1"/>
  <c r="V591" i="1"/>
  <c r="V588" i="1"/>
  <c r="V589" i="1"/>
  <c r="V590" i="1"/>
  <c r="V395" i="1"/>
  <c r="V471" i="1"/>
  <c r="V472" i="1"/>
  <c r="V473" i="1"/>
  <c r="V474" i="1"/>
  <c r="V475" i="1"/>
  <c r="V393" i="1"/>
  <c r="V394" i="1"/>
  <c r="V314" i="1"/>
  <c r="V315" i="1"/>
  <c r="V316" i="1"/>
  <c r="V318" i="1"/>
  <c r="V317" i="1"/>
  <c r="V319" i="1"/>
  <c r="V87" i="1"/>
  <c r="V88" i="1"/>
  <c r="V89" i="1"/>
  <c r="V22" i="1"/>
  <c r="V23" i="1"/>
  <c r="V24" i="1"/>
  <c r="V25" i="1"/>
  <c r="V27" i="1"/>
  <c r="V26" i="1"/>
  <c r="V1849" i="1"/>
  <c r="V20" i="1"/>
  <c r="V1893" i="1"/>
  <c r="V1894" i="1"/>
  <c r="V1854" i="1"/>
  <c r="V1850" i="1"/>
  <c r="V1851" i="1"/>
  <c r="V1852" i="1"/>
  <c r="V1853" i="1"/>
  <c r="V1790" i="1"/>
  <c r="V1792" i="1"/>
  <c r="V1791" i="1"/>
  <c r="V1592" i="1"/>
  <c r="V1477" i="1"/>
  <c r="V1527" i="1"/>
  <c r="V1528" i="1"/>
  <c r="V1529" i="1"/>
  <c r="V1530" i="1"/>
  <c r="V1531" i="1"/>
  <c r="V1532" i="1"/>
  <c r="V1476" i="1"/>
  <c r="V1474" i="1"/>
  <c r="V1475" i="1"/>
  <c r="V1398" i="1"/>
  <c r="V1396" i="1"/>
  <c r="V1397" i="1"/>
  <c r="V745" i="1"/>
  <c r="V1395" i="1"/>
  <c r="V1394" i="1"/>
  <c r="V1335" i="1"/>
  <c r="V1336" i="1"/>
  <c r="V1337" i="1"/>
  <c r="V1341" i="1"/>
  <c r="V1340" i="1"/>
  <c r="V1338" i="1"/>
  <c r="V1339" i="1"/>
  <c r="V1332" i="1"/>
  <c r="V1333" i="1"/>
  <c r="V1334" i="1"/>
  <c r="V1102" i="1"/>
  <c r="V1103" i="1"/>
  <c r="V1104" i="1"/>
  <c r="V1018" i="1"/>
  <c r="V1017" i="1"/>
  <c r="V1016" i="1"/>
  <c r="V939" i="1"/>
  <c r="V940" i="1"/>
  <c r="V941" i="1"/>
  <c r="V942" i="1"/>
  <c r="V943" i="1"/>
  <c r="V888" i="1"/>
  <c r="V889" i="1"/>
  <c r="V750" i="1"/>
  <c r="V751" i="1"/>
  <c r="V746" i="1"/>
  <c r="V747" i="1"/>
  <c r="V748" i="1"/>
  <c r="V749" i="1"/>
  <c r="V587" i="1"/>
  <c r="V645" i="1"/>
  <c r="V646" i="1"/>
  <c r="V647" i="1"/>
  <c r="V644" i="1"/>
  <c r="V586" i="1"/>
  <c r="V583" i="1"/>
  <c r="V584" i="1"/>
  <c r="V585" i="1"/>
  <c r="V522" i="1"/>
  <c r="V523" i="1"/>
  <c r="V524" i="1"/>
  <c r="V521" i="1"/>
  <c r="V462" i="1"/>
  <c r="V463" i="1"/>
  <c r="V460" i="1"/>
  <c r="V461" i="1"/>
  <c r="V196" i="1"/>
  <c r="V195" i="1"/>
  <c r="V1387" i="1"/>
  <c r="V192" i="1"/>
  <c r="V194" i="1"/>
  <c r="V193" i="1"/>
  <c r="V1589" i="1"/>
  <c r="V80" i="1"/>
  <c r="V81" i="1"/>
  <c r="V82" i="1"/>
  <c r="V83" i="1"/>
  <c r="V84" i="1"/>
  <c r="V85" i="1"/>
  <c r="V1455" i="1"/>
  <c r="V1454" i="1"/>
  <c r="V11" i="1"/>
  <c r="V1590" i="1"/>
  <c r="V1591" i="1"/>
  <c r="V1521" i="1"/>
  <c r="V1520" i="1"/>
  <c r="V1519" i="1"/>
  <c r="V1457" i="1"/>
  <c r="V1456" i="1"/>
  <c r="V574" i="1"/>
  <c r="V1389" i="1"/>
  <c r="V1390" i="1"/>
  <c r="V1329" i="1"/>
  <c r="V1330" i="1"/>
  <c r="V1331" i="1"/>
  <c r="V933" i="1"/>
  <c r="V1326" i="1"/>
  <c r="V1327" i="1"/>
  <c r="V1328" i="1"/>
  <c r="V1325" i="1"/>
  <c r="V1151" i="1"/>
  <c r="V1148" i="1"/>
  <c r="V1150" i="1"/>
  <c r="V1149" i="1"/>
  <c r="V1097" i="1"/>
  <c r="V1098" i="1"/>
  <c r="V1099" i="1"/>
  <c r="V932" i="1"/>
  <c r="V929" i="1"/>
  <c r="V926" i="1"/>
  <c r="V931" i="1"/>
  <c r="V927" i="1"/>
  <c r="V930" i="1"/>
  <c r="V928" i="1"/>
  <c r="V884" i="1"/>
  <c r="V713" i="1"/>
  <c r="V636" i="1"/>
  <c r="V259" i="1"/>
  <c r="V712" i="1"/>
  <c r="V635" i="1"/>
  <c r="V512" i="1"/>
  <c r="V513" i="1"/>
  <c r="V511" i="1"/>
  <c r="V510" i="1"/>
  <c r="V452" i="1"/>
  <c r="V453" i="1"/>
  <c r="V454" i="1"/>
  <c r="V457" i="1"/>
  <c r="V455" i="1"/>
  <c r="V456" i="1"/>
  <c r="V258" i="1"/>
  <c r="V184" i="1"/>
  <c r="V185" i="1"/>
  <c r="V186" i="1"/>
  <c r="V187" i="1"/>
  <c r="V188" i="1"/>
  <c r="V189" i="1"/>
  <c r="V120" i="1"/>
  <c r="V74" i="1"/>
  <c r="V75" i="1"/>
  <c r="V73" i="1"/>
  <c r="V4" i="1"/>
  <c r="V8" i="1"/>
  <c r="V5" i="1"/>
  <c r="V6" i="1"/>
  <c r="V7" i="1"/>
  <c r="V1781" i="1"/>
  <c r="V1724" i="1"/>
  <c r="V1725" i="1"/>
  <c r="V1726" i="1"/>
  <c r="V1656" i="1"/>
  <c r="V1582" i="1"/>
  <c r="V1583" i="1"/>
  <c r="V1581" i="1"/>
  <c r="V1576" i="1"/>
  <c r="V1577" i="1"/>
  <c r="V1580" i="1"/>
  <c r="V1578" i="1"/>
  <c r="V1579" i="1"/>
  <c r="V1515" i="1"/>
  <c r="V1252" i="1"/>
  <c r="V1509" i="1"/>
  <c r="V1512" i="1"/>
  <c r="V1510" i="1"/>
  <c r="V1513" i="1"/>
  <c r="V1511" i="1"/>
  <c r="V1514" i="1"/>
  <c r="V1319" i="1"/>
  <c r="V1320" i="1"/>
  <c r="V1318" i="1"/>
  <c r="V1247" i="1"/>
  <c r="V1248" i="1"/>
  <c r="V1249" i="1"/>
  <c r="V1250" i="1"/>
  <c r="V1251" i="1"/>
  <c r="V1182" i="1"/>
  <c r="V1145" i="1"/>
  <c r="V1144" i="1"/>
  <c r="V1088" i="1"/>
  <c r="V1089" i="1"/>
  <c r="V1090" i="1"/>
  <c r="V1091" i="1"/>
  <c r="V1092" i="1"/>
  <c r="V872" i="1"/>
  <c r="V873" i="1"/>
  <c r="V874" i="1"/>
  <c r="V875" i="1"/>
  <c r="V794" i="1"/>
  <c r="V793" i="1"/>
  <c r="V795" i="1"/>
  <c r="V792" i="1"/>
  <c r="V744" i="1"/>
  <c r="V700" i="1"/>
  <c r="V701" i="1"/>
  <c r="V702" i="1"/>
  <c r="V703" i="1"/>
  <c r="V704" i="1"/>
  <c r="V705" i="1"/>
  <c r="V706" i="1"/>
  <c r="V707" i="1"/>
  <c r="V699" i="1"/>
  <c r="V389" i="1"/>
  <c r="V509" i="1"/>
  <c r="V447" i="1"/>
  <c r="V443" i="1"/>
  <c r="V444" i="1"/>
  <c r="V445" i="1"/>
  <c r="V446" i="1"/>
  <c r="V385" i="1"/>
  <c r="V386" i="1"/>
  <c r="V387" i="1"/>
  <c r="V388" i="1"/>
  <c r="V632" i="1"/>
  <c r="V384" i="1"/>
  <c r="V382" i="1"/>
  <c r="V383" i="1"/>
  <c r="V175" i="1"/>
  <c r="V242" i="1"/>
  <c r="V243" i="1"/>
  <c r="V244" i="1"/>
  <c r="V245" i="1"/>
  <c r="V251" i="1"/>
  <c r="V250" i="1"/>
  <c r="V246" i="1"/>
  <c r="V247" i="1"/>
  <c r="V252" i="1"/>
  <c r="V248" i="1"/>
  <c r="V249" i="1"/>
  <c r="V173" i="1"/>
  <c r="V174" i="1"/>
  <c r="V172" i="1"/>
  <c r="V2" i="1"/>
  <c r="V998" i="1"/>
  <c r="A1890" i="1" l="1"/>
  <c r="B1890" i="1"/>
  <c r="C1890" i="1"/>
  <c r="D1890" i="1"/>
  <c r="E1890" i="1"/>
  <c r="F1890" i="1"/>
  <c r="G1890" i="1"/>
  <c r="H1890" i="1"/>
  <c r="I1890" i="1"/>
  <c r="J1890" i="1"/>
  <c r="K1890" i="1"/>
  <c r="L1890" i="1"/>
  <c r="M1890" i="1"/>
  <c r="N1890" i="1"/>
  <c r="O1890" i="1"/>
  <c r="P1890" i="1"/>
  <c r="Q1890" i="1"/>
  <c r="R1890" i="1"/>
  <c r="S1890" i="1"/>
  <c r="T1890" i="1"/>
  <c r="U1890" i="1"/>
  <c r="A1847" i="1"/>
  <c r="B1847" i="1"/>
  <c r="C1847" i="1"/>
  <c r="D1847" i="1"/>
  <c r="E1847" i="1"/>
  <c r="F1847" i="1"/>
  <c r="G1847" i="1"/>
  <c r="H1847" i="1"/>
  <c r="I1847" i="1"/>
  <c r="J1847" i="1"/>
  <c r="K1847" i="1"/>
  <c r="M1847" i="1"/>
  <c r="N1847" i="1"/>
  <c r="O1847" i="1"/>
  <c r="P1847" i="1"/>
  <c r="Q1847" i="1"/>
  <c r="R1847" i="1"/>
  <c r="S1847" i="1"/>
  <c r="U1847" i="1"/>
  <c r="A1846" i="1"/>
  <c r="B1846" i="1"/>
  <c r="C1846" i="1"/>
  <c r="D1846" i="1"/>
  <c r="E1846" i="1"/>
  <c r="F1846" i="1"/>
  <c r="G1846" i="1"/>
  <c r="H1846" i="1"/>
  <c r="I1846" i="1"/>
  <c r="J1846" i="1"/>
  <c r="K1846" i="1"/>
  <c r="L1846" i="1"/>
  <c r="M1846" i="1"/>
  <c r="N1846" i="1"/>
  <c r="O1846" i="1"/>
  <c r="P1846" i="1"/>
  <c r="Q1846" i="1"/>
  <c r="R1846" i="1"/>
  <c r="S1846" i="1"/>
  <c r="T1846" i="1"/>
  <c r="U1846" i="1"/>
  <c r="A1716" i="1"/>
  <c r="B1716" i="1"/>
  <c r="C1716" i="1"/>
  <c r="D1716" i="1"/>
  <c r="E1716" i="1"/>
  <c r="F1716" i="1"/>
  <c r="G1716" i="1"/>
  <c r="H1716" i="1"/>
  <c r="I1716" i="1"/>
  <c r="J1716" i="1"/>
  <c r="K1716" i="1"/>
  <c r="L1716" i="1"/>
  <c r="M1716" i="1"/>
  <c r="N1716" i="1"/>
  <c r="O1716" i="1"/>
  <c r="P1716" i="1"/>
  <c r="Q1716" i="1"/>
  <c r="R1716" i="1"/>
  <c r="S1716" i="1"/>
  <c r="T1716" i="1"/>
  <c r="U1716" i="1"/>
  <c r="A1452" i="1"/>
  <c r="B1452" i="1"/>
  <c r="C1452" i="1"/>
  <c r="D1452" i="1"/>
  <c r="E1452" i="1"/>
  <c r="F1452" i="1"/>
  <c r="G1452" i="1"/>
  <c r="H1452" i="1"/>
  <c r="I1452" i="1"/>
  <c r="J1452" i="1"/>
  <c r="K1452" i="1"/>
  <c r="L1452" i="1"/>
  <c r="M1452" i="1"/>
  <c r="N1452" i="1"/>
  <c r="O1452" i="1"/>
  <c r="P1452" i="1"/>
  <c r="Q1452" i="1"/>
  <c r="R1452" i="1"/>
  <c r="S1452" i="1"/>
  <c r="T1452" i="1"/>
  <c r="U1452" i="1"/>
  <c r="A1385" i="1"/>
  <c r="B1385" i="1"/>
  <c r="C1385" i="1"/>
  <c r="D1385" i="1"/>
  <c r="E1385" i="1"/>
  <c r="F1385" i="1"/>
  <c r="G1385" i="1"/>
  <c r="H1385" i="1"/>
  <c r="I1385" i="1"/>
  <c r="J1385" i="1"/>
  <c r="K1385" i="1"/>
  <c r="L1385" i="1"/>
  <c r="M1385" i="1"/>
  <c r="N1385" i="1"/>
  <c r="O1385" i="1"/>
  <c r="P1385" i="1"/>
  <c r="Q1385" i="1"/>
  <c r="R1385" i="1"/>
  <c r="S1385" i="1"/>
  <c r="T1385" i="1"/>
  <c r="U1385" i="1"/>
  <c r="A1245" i="1"/>
  <c r="B1245" i="1"/>
  <c r="C1245" i="1"/>
  <c r="D1245" i="1"/>
  <c r="E1245" i="1"/>
  <c r="F1245" i="1"/>
  <c r="G1245" i="1"/>
  <c r="H1245" i="1"/>
  <c r="I1245" i="1"/>
  <c r="J1245" i="1"/>
  <c r="K1245" i="1"/>
  <c r="L1245" i="1"/>
  <c r="M1245" i="1"/>
  <c r="N1245" i="1"/>
  <c r="O1245" i="1"/>
  <c r="P1245" i="1"/>
  <c r="Q1245" i="1"/>
  <c r="R1245" i="1"/>
  <c r="S1245" i="1"/>
  <c r="T1245" i="1"/>
  <c r="U1245" i="1"/>
  <c r="A167" i="1"/>
  <c r="B167" i="1"/>
  <c r="C167" i="1"/>
  <c r="D167" i="1"/>
  <c r="E167" i="1"/>
  <c r="F167" i="1"/>
  <c r="G167" i="1"/>
  <c r="H167" i="1"/>
  <c r="I167" i="1"/>
  <c r="J167" i="1"/>
  <c r="K167" i="1"/>
  <c r="L167" i="1"/>
  <c r="M167" i="1"/>
  <c r="O167" i="1"/>
  <c r="Q167" i="1"/>
  <c r="R167" i="1"/>
  <c r="S167" i="1"/>
  <c r="A1244" i="1"/>
  <c r="B1244" i="1"/>
  <c r="C1244" i="1"/>
  <c r="D1244" i="1"/>
  <c r="E1244" i="1"/>
  <c r="F1244" i="1"/>
  <c r="G1244" i="1"/>
  <c r="H1244" i="1"/>
  <c r="I1244" i="1"/>
  <c r="J1244" i="1"/>
  <c r="K1244" i="1"/>
  <c r="M1244" i="1"/>
  <c r="N1244" i="1"/>
  <c r="O1244" i="1"/>
  <c r="P1244" i="1"/>
  <c r="Q1244" i="1"/>
  <c r="R1244" i="1"/>
  <c r="S1244" i="1"/>
  <c r="U1244" i="1"/>
  <c r="A1315" i="1"/>
  <c r="B1315" i="1"/>
  <c r="C1315" i="1"/>
  <c r="D1315" i="1"/>
  <c r="E1315" i="1"/>
  <c r="F1315" i="1"/>
  <c r="G1315" i="1"/>
  <c r="H1315" i="1"/>
  <c r="I1315" i="1"/>
  <c r="J1315" i="1"/>
  <c r="K1315" i="1"/>
  <c r="L1315" i="1"/>
  <c r="M1315" i="1"/>
  <c r="N1315" i="1"/>
  <c r="O1315" i="1"/>
  <c r="P1315" i="1"/>
  <c r="Q1315" i="1"/>
  <c r="R1315" i="1"/>
  <c r="S1315" i="1"/>
  <c r="T1315" i="1"/>
  <c r="U1315" i="1"/>
  <c r="A1313" i="1"/>
  <c r="B1313" i="1"/>
  <c r="C1313" i="1"/>
  <c r="D1313" i="1"/>
  <c r="E1313" i="1"/>
  <c r="F1313" i="1"/>
  <c r="G1313" i="1"/>
  <c r="H1313" i="1"/>
  <c r="I1313" i="1"/>
  <c r="J1313" i="1"/>
  <c r="K1313" i="1"/>
  <c r="L1313" i="1"/>
  <c r="M1313" i="1"/>
  <c r="N1313" i="1"/>
  <c r="O1313" i="1"/>
  <c r="Q1313" i="1"/>
  <c r="R1313" i="1"/>
  <c r="S1313" i="1"/>
  <c r="T1313" i="1"/>
  <c r="U1313" i="1"/>
  <c r="A1314" i="1"/>
  <c r="B1314" i="1"/>
  <c r="C1314" i="1"/>
  <c r="D1314" i="1"/>
  <c r="E1314" i="1"/>
  <c r="F1314" i="1"/>
  <c r="G1314" i="1"/>
  <c r="H1314" i="1"/>
  <c r="I1314" i="1"/>
  <c r="J1314" i="1"/>
  <c r="K1314" i="1"/>
  <c r="L1314" i="1"/>
  <c r="M1314" i="1"/>
  <c r="N1314" i="1"/>
  <c r="O1314" i="1"/>
  <c r="Q1314" i="1"/>
  <c r="R1314" i="1"/>
  <c r="S1314" i="1"/>
  <c r="T1314" i="1"/>
  <c r="U1314" i="1"/>
  <c r="A1242" i="1"/>
  <c r="B1242" i="1"/>
  <c r="C1242" i="1"/>
  <c r="D1242" i="1"/>
  <c r="E1242" i="1"/>
  <c r="F1242" i="1"/>
  <c r="G1242" i="1"/>
  <c r="H1242" i="1"/>
  <c r="I1242" i="1"/>
  <c r="J1242" i="1"/>
  <c r="K1242" i="1"/>
  <c r="L1242" i="1"/>
  <c r="M1242" i="1"/>
  <c r="N1242" i="1"/>
  <c r="O1242" i="1"/>
  <c r="Q1242" i="1"/>
  <c r="R1242" i="1"/>
  <c r="S1242" i="1"/>
  <c r="T1242" i="1"/>
  <c r="U1242" i="1"/>
  <c r="A1243" i="1"/>
  <c r="B1243" i="1"/>
  <c r="C1243" i="1"/>
  <c r="D1243" i="1"/>
  <c r="E1243" i="1"/>
  <c r="F1243" i="1"/>
  <c r="G1243" i="1"/>
  <c r="H1243" i="1"/>
  <c r="I1243" i="1"/>
  <c r="J1243" i="1"/>
  <c r="K1243" i="1"/>
  <c r="M1243" i="1"/>
  <c r="N1243" i="1"/>
  <c r="O1243" i="1"/>
  <c r="P1243" i="1"/>
  <c r="Q1243" i="1"/>
  <c r="R1243" i="1"/>
  <c r="S1243" i="1"/>
  <c r="T1243" i="1"/>
  <c r="U1243" i="1"/>
  <c r="A1241" i="1"/>
  <c r="B1241" i="1"/>
  <c r="C1241" i="1"/>
  <c r="D1241" i="1"/>
  <c r="E1241" i="1"/>
  <c r="F1241" i="1"/>
  <c r="G1241" i="1"/>
  <c r="H1241" i="1"/>
  <c r="I1241" i="1"/>
  <c r="J1241" i="1"/>
  <c r="K1241" i="1"/>
  <c r="L1241" i="1"/>
  <c r="M1241" i="1"/>
  <c r="N1241" i="1"/>
  <c r="O1241" i="1"/>
  <c r="P1241" i="1"/>
  <c r="Q1241" i="1"/>
  <c r="R1241" i="1"/>
  <c r="S1241" i="1"/>
  <c r="T1241" i="1"/>
  <c r="U1241" i="1"/>
  <c r="A1239" i="1"/>
  <c r="B1239" i="1"/>
  <c r="C1239" i="1"/>
  <c r="D1239" i="1"/>
  <c r="E1239" i="1"/>
  <c r="F1239" i="1"/>
  <c r="G1239" i="1"/>
  <c r="H1239" i="1"/>
  <c r="I1239" i="1"/>
  <c r="J1239" i="1"/>
  <c r="K1239" i="1"/>
  <c r="L1239" i="1"/>
  <c r="M1239" i="1"/>
  <c r="N1239" i="1"/>
  <c r="O1239" i="1"/>
  <c r="Q1239" i="1"/>
  <c r="R1239" i="1"/>
  <c r="S1239" i="1"/>
  <c r="T1239" i="1"/>
  <c r="U1239" i="1"/>
  <c r="A1240" i="1"/>
  <c r="B1240" i="1"/>
  <c r="C1240" i="1"/>
  <c r="D1240" i="1"/>
  <c r="E1240" i="1"/>
  <c r="F1240" i="1"/>
  <c r="G1240" i="1"/>
  <c r="H1240" i="1"/>
  <c r="I1240" i="1"/>
  <c r="J1240" i="1"/>
  <c r="K1240" i="1"/>
  <c r="L1240" i="1"/>
  <c r="M1240" i="1"/>
  <c r="N1240" i="1"/>
  <c r="O1240" i="1"/>
  <c r="Q1240" i="1"/>
  <c r="R1240" i="1"/>
  <c r="S1240" i="1"/>
  <c r="T1240" i="1"/>
  <c r="U1240" i="1"/>
  <c r="A1238" i="1"/>
  <c r="B1238" i="1"/>
  <c r="C1238" i="1"/>
  <c r="D1238" i="1"/>
  <c r="E1238" i="1"/>
  <c r="F1238" i="1"/>
  <c r="G1238" i="1"/>
  <c r="H1238" i="1"/>
  <c r="I1238" i="1"/>
  <c r="J1238" i="1"/>
  <c r="K1238" i="1"/>
  <c r="L1238" i="1"/>
  <c r="M1238" i="1"/>
  <c r="N1238" i="1"/>
  <c r="O1238" i="1"/>
  <c r="Q1238" i="1"/>
  <c r="R1238" i="1"/>
  <c r="S1238" i="1"/>
  <c r="T1238" i="1"/>
  <c r="U1238" i="1"/>
  <c r="A1059" i="1"/>
  <c r="B1059" i="1"/>
  <c r="C1059" i="1"/>
  <c r="D1059" i="1"/>
  <c r="E1059" i="1"/>
  <c r="F1059" i="1"/>
  <c r="G1059" i="1"/>
  <c r="H1059" i="1"/>
  <c r="I1059" i="1"/>
  <c r="J1059" i="1"/>
  <c r="K1059" i="1"/>
  <c r="L1059" i="1"/>
  <c r="M1059" i="1"/>
  <c r="N1059" i="1"/>
  <c r="O1059" i="1"/>
  <c r="Q1059" i="1"/>
  <c r="R1059" i="1"/>
  <c r="S1059" i="1"/>
  <c r="T1059" i="1"/>
  <c r="U1059" i="1"/>
  <c r="A1009" i="1"/>
  <c r="B1009" i="1"/>
  <c r="C1009" i="1"/>
  <c r="D1009" i="1"/>
  <c r="E1009" i="1"/>
  <c r="F1009" i="1"/>
  <c r="G1009" i="1"/>
  <c r="H1009" i="1"/>
  <c r="I1009" i="1"/>
  <c r="J1009" i="1"/>
  <c r="K1009" i="1"/>
  <c r="L1009" i="1"/>
  <c r="M1009" i="1"/>
  <c r="N1009" i="1"/>
  <c r="O1009" i="1"/>
  <c r="Q1009" i="1"/>
  <c r="R1009" i="1"/>
  <c r="S1009" i="1"/>
  <c r="T1009" i="1"/>
  <c r="U1009" i="1"/>
  <c r="A1010" i="1"/>
  <c r="B1010" i="1"/>
  <c r="C1010" i="1"/>
  <c r="D1010" i="1"/>
  <c r="E1010" i="1"/>
  <c r="F1010" i="1"/>
  <c r="G1010" i="1"/>
  <c r="H1010" i="1"/>
  <c r="I1010" i="1"/>
  <c r="J1010" i="1"/>
  <c r="K1010" i="1"/>
  <c r="L1010" i="1"/>
  <c r="M1010" i="1"/>
  <c r="N1010" i="1"/>
  <c r="O1010" i="1"/>
  <c r="P1010" i="1"/>
  <c r="Q1010" i="1"/>
  <c r="R1010" i="1"/>
  <c r="S1010" i="1"/>
  <c r="U1010" i="1"/>
  <c r="A1008" i="1"/>
  <c r="B1008" i="1"/>
  <c r="C1008" i="1"/>
  <c r="D1008" i="1"/>
  <c r="E1008" i="1"/>
  <c r="F1008" i="1"/>
  <c r="G1008" i="1"/>
  <c r="H1008" i="1"/>
  <c r="I1008" i="1"/>
  <c r="J1008" i="1"/>
  <c r="K1008" i="1"/>
  <c r="L1008" i="1"/>
  <c r="M1008" i="1"/>
  <c r="N1008" i="1"/>
  <c r="O1008" i="1"/>
  <c r="Q1008" i="1"/>
  <c r="R1008" i="1"/>
  <c r="S1008" i="1"/>
  <c r="T1008" i="1"/>
  <c r="U1008" i="1"/>
  <c r="A1058" i="1"/>
  <c r="B1058" i="1"/>
  <c r="C1058" i="1"/>
  <c r="D1058" i="1"/>
  <c r="E1058" i="1"/>
  <c r="F1058" i="1"/>
  <c r="G1058" i="1"/>
  <c r="H1058" i="1"/>
  <c r="I1058" i="1"/>
  <c r="J1058" i="1"/>
  <c r="K1058" i="1"/>
  <c r="L1058" i="1"/>
  <c r="M1058" i="1"/>
  <c r="N1058" i="1"/>
  <c r="O1058" i="1"/>
  <c r="Q1058" i="1"/>
  <c r="R1058" i="1"/>
  <c r="S1058" i="1"/>
  <c r="T1058" i="1"/>
  <c r="U1058" i="1"/>
  <c r="A1001" i="1"/>
  <c r="B1001" i="1"/>
  <c r="C1001" i="1"/>
  <c r="D1001" i="1"/>
  <c r="E1001" i="1"/>
  <c r="F1001" i="1"/>
  <c r="G1001" i="1"/>
  <c r="H1001" i="1"/>
  <c r="I1001" i="1"/>
  <c r="J1001" i="1"/>
  <c r="K1001" i="1"/>
  <c r="L1001" i="1"/>
  <c r="M1001" i="1"/>
  <c r="N1001" i="1"/>
  <c r="O1001" i="1"/>
  <c r="P1001" i="1"/>
  <c r="Q1001" i="1"/>
  <c r="R1001" i="1"/>
  <c r="S1001" i="1"/>
  <c r="T1001" i="1"/>
  <c r="U1001" i="1"/>
  <c r="A999" i="1"/>
  <c r="B999" i="1"/>
  <c r="C999" i="1"/>
  <c r="D999" i="1"/>
  <c r="E999" i="1"/>
  <c r="F999" i="1"/>
  <c r="G999" i="1"/>
  <c r="H999" i="1"/>
  <c r="I999" i="1"/>
  <c r="J999" i="1"/>
  <c r="K999" i="1"/>
  <c r="L999" i="1"/>
  <c r="M999" i="1"/>
  <c r="N999" i="1"/>
  <c r="O999" i="1"/>
  <c r="Q999" i="1"/>
  <c r="R999" i="1"/>
  <c r="S999" i="1"/>
  <c r="T999" i="1"/>
  <c r="U999" i="1"/>
  <c r="A1000" i="1"/>
  <c r="B1000" i="1"/>
  <c r="C1000" i="1"/>
  <c r="D1000" i="1"/>
  <c r="E1000" i="1"/>
  <c r="F1000" i="1"/>
  <c r="G1000" i="1"/>
  <c r="H1000" i="1"/>
  <c r="I1000" i="1"/>
  <c r="J1000" i="1"/>
  <c r="K1000" i="1"/>
  <c r="L1000" i="1"/>
  <c r="M1000" i="1"/>
  <c r="N1000" i="1"/>
  <c r="O1000" i="1"/>
  <c r="Q1000" i="1"/>
  <c r="R1000" i="1"/>
  <c r="S1000" i="1"/>
  <c r="T1000" i="1"/>
  <c r="U1000" i="1"/>
  <c r="A1002" i="1"/>
  <c r="B1002" i="1"/>
  <c r="C1002" i="1"/>
  <c r="D1002" i="1"/>
  <c r="E1002" i="1"/>
  <c r="F1002" i="1"/>
  <c r="G1002" i="1"/>
  <c r="H1002" i="1"/>
  <c r="I1002" i="1"/>
  <c r="J1002" i="1"/>
  <c r="K1002" i="1"/>
  <c r="L1002" i="1"/>
  <c r="M1002" i="1"/>
  <c r="N1002" i="1"/>
  <c r="O1002" i="1"/>
  <c r="P1002" i="1"/>
  <c r="Q1002" i="1"/>
  <c r="R1002" i="1"/>
  <c r="S1002" i="1"/>
  <c r="T1002" i="1"/>
  <c r="U1002" i="1"/>
  <c r="A1006" i="1"/>
  <c r="B1006" i="1"/>
  <c r="C1006" i="1"/>
  <c r="D1006" i="1"/>
  <c r="E1006" i="1"/>
  <c r="F1006" i="1"/>
  <c r="G1006" i="1"/>
  <c r="H1006" i="1"/>
  <c r="I1006" i="1"/>
  <c r="J1006" i="1"/>
  <c r="K1006" i="1"/>
  <c r="L1006" i="1"/>
  <c r="M1006" i="1"/>
  <c r="N1006" i="1"/>
  <c r="O1006" i="1"/>
  <c r="P1006" i="1"/>
  <c r="Q1006" i="1"/>
  <c r="R1006" i="1"/>
  <c r="S1006" i="1"/>
  <c r="T1006" i="1"/>
  <c r="U1006" i="1"/>
  <c r="A1003" i="1"/>
  <c r="B1003" i="1"/>
  <c r="C1003" i="1"/>
  <c r="D1003" i="1"/>
  <c r="E1003" i="1"/>
  <c r="F1003" i="1"/>
  <c r="G1003" i="1"/>
  <c r="H1003" i="1"/>
  <c r="I1003" i="1"/>
  <c r="J1003" i="1"/>
  <c r="K1003" i="1"/>
  <c r="L1003" i="1"/>
  <c r="M1003" i="1"/>
  <c r="N1003" i="1"/>
  <c r="O1003" i="1"/>
  <c r="P1003" i="1"/>
  <c r="Q1003" i="1"/>
  <c r="R1003" i="1"/>
  <c r="S1003" i="1"/>
  <c r="T1003" i="1"/>
  <c r="U1003" i="1"/>
  <c r="A1004" i="1"/>
  <c r="B1004" i="1"/>
  <c r="C1004" i="1"/>
  <c r="D1004" i="1"/>
  <c r="E1004" i="1"/>
  <c r="F1004" i="1"/>
  <c r="G1004" i="1"/>
  <c r="H1004" i="1"/>
  <c r="I1004" i="1"/>
  <c r="J1004" i="1"/>
  <c r="K1004" i="1"/>
  <c r="L1004" i="1"/>
  <c r="M1004" i="1"/>
  <c r="N1004" i="1"/>
  <c r="O1004" i="1"/>
  <c r="P1004" i="1"/>
  <c r="Q1004" i="1"/>
  <c r="R1004" i="1"/>
  <c r="S1004" i="1"/>
  <c r="T1004" i="1"/>
  <c r="U1004" i="1"/>
  <c r="A1005" i="1"/>
  <c r="B1005" i="1"/>
  <c r="C1005" i="1"/>
  <c r="D1005" i="1"/>
  <c r="E1005" i="1"/>
  <c r="F1005" i="1"/>
  <c r="G1005" i="1"/>
  <c r="H1005" i="1"/>
  <c r="I1005" i="1"/>
  <c r="J1005" i="1"/>
  <c r="K1005" i="1"/>
  <c r="L1005" i="1"/>
  <c r="M1005" i="1"/>
  <c r="N1005" i="1"/>
  <c r="O1005" i="1"/>
  <c r="P1005" i="1"/>
  <c r="Q1005" i="1"/>
  <c r="R1005" i="1"/>
  <c r="S1005" i="1"/>
  <c r="T1005" i="1"/>
  <c r="U1005" i="1"/>
  <c r="A1007" i="1"/>
  <c r="B1007" i="1"/>
  <c r="C1007" i="1"/>
  <c r="D1007" i="1"/>
  <c r="E1007" i="1"/>
  <c r="F1007" i="1"/>
  <c r="G1007" i="1"/>
  <c r="H1007" i="1"/>
  <c r="I1007" i="1"/>
  <c r="J1007" i="1"/>
  <c r="K1007" i="1"/>
  <c r="M1007" i="1"/>
  <c r="N1007" i="1"/>
  <c r="O1007" i="1"/>
  <c r="P1007" i="1"/>
  <c r="Q1007" i="1"/>
  <c r="R1007" i="1"/>
  <c r="S1007" i="1"/>
  <c r="T1007" i="1"/>
  <c r="U1007" i="1"/>
  <c r="A919" i="1"/>
  <c r="B919" i="1"/>
  <c r="C919" i="1"/>
  <c r="D919" i="1"/>
  <c r="E919" i="1"/>
  <c r="F919" i="1"/>
  <c r="G919" i="1"/>
  <c r="H919" i="1"/>
  <c r="I919" i="1"/>
  <c r="J919" i="1"/>
  <c r="K919" i="1"/>
  <c r="L919" i="1"/>
  <c r="M919" i="1"/>
  <c r="N919" i="1"/>
  <c r="O919" i="1"/>
  <c r="Q919" i="1"/>
  <c r="R919" i="1"/>
  <c r="S919" i="1"/>
  <c r="T919" i="1"/>
  <c r="U919" i="1"/>
  <c r="A920" i="1"/>
  <c r="B920" i="1"/>
  <c r="C920" i="1"/>
  <c r="D920" i="1"/>
  <c r="E920" i="1"/>
  <c r="F920" i="1"/>
  <c r="G920" i="1"/>
  <c r="H920" i="1"/>
  <c r="I920" i="1"/>
  <c r="J920" i="1"/>
  <c r="K920" i="1"/>
  <c r="L920" i="1"/>
  <c r="M920" i="1"/>
  <c r="N920" i="1"/>
  <c r="O920" i="1"/>
  <c r="P920" i="1"/>
  <c r="Q920" i="1"/>
  <c r="R920" i="1"/>
  <c r="S920" i="1"/>
  <c r="T920" i="1"/>
  <c r="U920" i="1"/>
  <c r="A918" i="1"/>
  <c r="B918" i="1"/>
  <c r="C918" i="1"/>
  <c r="D918" i="1"/>
  <c r="E918" i="1"/>
  <c r="F918" i="1"/>
  <c r="G918" i="1"/>
  <c r="H918" i="1"/>
  <c r="I918" i="1"/>
  <c r="J918" i="1"/>
  <c r="K918" i="1"/>
  <c r="L918" i="1"/>
  <c r="M918" i="1"/>
  <c r="N918" i="1"/>
  <c r="O918" i="1"/>
  <c r="Q918" i="1"/>
  <c r="R918" i="1"/>
  <c r="S918" i="1"/>
  <c r="T918" i="1"/>
  <c r="U918" i="1"/>
  <c r="A790" i="1"/>
  <c r="B790" i="1"/>
  <c r="C790" i="1"/>
  <c r="D790" i="1"/>
  <c r="E790" i="1"/>
  <c r="F790" i="1"/>
  <c r="G790" i="1"/>
  <c r="H790" i="1"/>
  <c r="I790" i="1"/>
  <c r="J790" i="1"/>
  <c r="K790" i="1"/>
  <c r="L790" i="1"/>
  <c r="M790" i="1"/>
  <c r="N790" i="1"/>
  <c r="O790" i="1"/>
  <c r="Q790" i="1"/>
  <c r="R790" i="1"/>
  <c r="S790" i="1"/>
  <c r="T790" i="1"/>
  <c r="U790" i="1"/>
  <c r="A863" i="1"/>
  <c r="B863" i="1"/>
  <c r="C863" i="1"/>
  <c r="D863" i="1"/>
  <c r="E863" i="1"/>
  <c r="F863" i="1"/>
  <c r="G863" i="1"/>
  <c r="H863" i="1"/>
  <c r="I863" i="1"/>
  <c r="J863" i="1"/>
  <c r="K863" i="1"/>
  <c r="M863" i="1"/>
  <c r="N863" i="1"/>
  <c r="O863" i="1"/>
  <c r="P863" i="1"/>
  <c r="Q863" i="1"/>
  <c r="R863" i="1"/>
  <c r="S863" i="1"/>
  <c r="U863" i="1"/>
  <c r="A789" i="1"/>
  <c r="B789" i="1"/>
  <c r="C789" i="1"/>
  <c r="D789" i="1"/>
  <c r="E789" i="1"/>
  <c r="F789" i="1"/>
  <c r="G789" i="1"/>
  <c r="H789" i="1"/>
  <c r="I789" i="1"/>
  <c r="J789" i="1"/>
  <c r="K789" i="1"/>
  <c r="L789" i="1"/>
  <c r="M789" i="1"/>
  <c r="N789" i="1"/>
  <c r="O789" i="1"/>
  <c r="Q789" i="1"/>
  <c r="R789" i="1"/>
  <c r="S789" i="1"/>
  <c r="T789" i="1"/>
  <c r="U789" i="1"/>
  <c r="A440" i="1"/>
  <c r="B440" i="1"/>
  <c r="C440" i="1"/>
  <c r="D440" i="1"/>
  <c r="E440" i="1"/>
  <c r="F440" i="1"/>
  <c r="G440" i="1"/>
  <c r="H440" i="1"/>
  <c r="I440" i="1"/>
  <c r="J440" i="1"/>
  <c r="K440" i="1"/>
  <c r="L440" i="1"/>
  <c r="M440" i="1"/>
  <c r="N440" i="1"/>
  <c r="O440" i="1"/>
  <c r="P440" i="1"/>
  <c r="Q440" i="1"/>
  <c r="R440" i="1"/>
  <c r="S440" i="1"/>
  <c r="T440" i="1"/>
  <c r="U440" i="1"/>
  <c r="A569" i="1"/>
  <c r="B569" i="1"/>
  <c r="C569" i="1"/>
  <c r="D569" i="1"/>
  <c r="E569" i="1"/>
  <c r="F569" i="1"/>
  <c r="G569" i="1"/>
  <c r="H569" i="1"/>
  <c r="I569" i="1"/>
  <c r="J569" i="1"/>
  <c r="K569" i="1"/>
  <c r="L569" i="1"/>
  <c r="M569" i="1"/>
  <c r="N569" i="1"/>
  <c r="O569" i="1"/>
  <c r="Q569" i="1"/>
  <c r="R569" i="1"/>
  <c r="S569" i="1"/>
  <c r="T569" i="1"/>
  <c r="U569" i="1"/>
  <c r="A439" i="1"/>
  <c r="B439" i="1"/>
  <c r="C439" i="1"/>
  <c r="D439" i="1"/>
  <c r="E439" i="1"/>
  <c r="F439" i="1"/>
  <c r="G439" i="1"/>
  <c r="H439" i="1"/>
  <c r="I439" i="1"/>
  <c r="J439" i="1"/>
  <c r="K439" i="1"/>
  <c r="L439" i="1"/>
  <c r="M439" i="1"/>
  <c r="N439" i="1"/>
  <c r="O439" i="1"/>
  <c r="Q439" i="1"/>
  <c r="R439" i="1"/>
  <c r="S439" i="1"/>
  <c r="T439" i="1"/>
  <c r="U439" i="1"/>
  <c r="A379" i="1"/>
  <c r="B379" i="1"/>
  <c r="C379" i="1"/>
  <c r="D379" i="1"/>
  <c r="E379" i="1"/>
  <c r="F379" i="1"/>
  <c r="G379" i="1"/>
  <c r="H379" i="1"/>
  <c r="I379" i="1"/>
  <c r="J379" i="1"/>
  <c r="K379" i="1"/>
  <c r="L379" i="1"/>
  <c r="M379" i="1"/>
  <c r="N379" i="1"/>
  <c r="O379" i="1"/>
  <c r="P379" i="1"/>
  <c r="Q379" i="1"/>
  <c r="R379" i="1"/>
  <c r="S379" i="1"/>
  <c r="T379" i="1"/>
  <c r="U379" i="1"/>
  <c r="A380" i="1"/>
  <c r="B380" i="1"/>
  <c r="C380" i="1"/>
  <c r="D380" i="1"/>
  <c r="E380" i="1"/>
  <c r="F380" i="1"/>
  <c r="G380" i="1"/>
  <c r="H380" i="1"/>
  <c r="I380" i="1"/>
  <c r="J380" i="1"/>
  <c r="K380" i="1"/>
  <c r="L380" i="1"/>
  <c r="M380" i="1"/>
  <c r="N380" i="1"/>
  <c r="O380" i="1"/>
  <c r="P380" i="1"/>
  <c r="Q380" i="1"/>
  <c r="R380" i="1"/>
  <c r="S380" i="1"/>
  <c r="T380" i="1"/>
  <c r="U380" i="1"/>
  <c r="A377" i="1"/>
  <c r="B377" i="1"/>
  <c r="C377" i="1"/>
  <c r="D377" i="1"/>
  <c r="E377" i="1"/>
  <c r="F377" i="1"/>
  <c r="G377" i="1"/>
  <c r="H377" i="1"/>
  <c r="I377" i="1"/>
  <c r="J377" i="1"/>
  <c r="K377" i="1"/>
  <c r="L377" i="1"/>
  <c r="M377" i="1"/>
  <c r="N377" i="1"/>
  <c r="O377" i="1"/>
  <c r="Q377" i="1"/>
  <c r="R377" i="1"/>
  <c r="S377" i="1"/>
  <c r="T377" i="1"/>
  <c r="U377" i="1"/>
  <c r="A381" i="1"/>
  <c r="B381" i="1"/>
  <c r="C381" i="1"/>
  <c r="D381" i="1"/>
  <c r="E381" i="1"/>
  <c r="F381" i="1"/>
  <c r="G381" i="1"/>
  <c r="H381" i="1"/>
  <c r="I381" i="1"/>
  <c r="J381" i="1"/>
  <c r="K381" i="1"/>
  <c r="L381" i="1"/>
  <c r="M381" i="1"/>
  <c r="N381" i="1"/>
  <c r="O381" i="1"/>
  <c r="P381" i="1"/>
  <c r="Q381" i="1"/>
  <c r="R381" i="1"/>
  <c r="S381" i="1"/>
  <c r="T381" i="1"/>
  <c r="U381" i="1"/>
  <c r="A378" i="1"/>
  <c r="B378" i="1"/>
  <c r="C378" i="1"/>
  <c r="D378" i="1"/>
  <c r="E378" i="1"/>
  <c r="F378" i="1"/>
  <c r="G378" i="1"/>
  <c r="H378" i="1"/>
  <c r="I378" i="1"/>
  <c r="J378" i="1"/>
  <c r="K378" i="1"/>
  <c r="L378" i="1"/>
  <c r="M378" i="1"/>
  <c r="N378" i="1"/>
  <c r="O378" i="1"/>
  <c r="Q378" i="1"/>
  <c r="R378" i="1"/>
  <c r="S378" i="1"/>
  <c r="T378" i="1"/>
  <c r="U378" i="1"/>
  <c r="A376" i="1"/>
  <c r="B376" i="1"/>
  <c r="C376" i="1"/>
  <c r="D376" i="1"/>
  <c r="E376" i="1"/>
  <c r="F376" i="1"/>
  <c r="G376" i="1"/>
  <c r="H376" i="1"/>
  <c r="I376" i="1"/>
  <c r="J376" i="1"/>
  <c r="K376" i="1"/>
  <c r="L376" i="1"/>
  <c r="M376" i="1"/>
  <c r="N376" i="1"/>
  <c r="O376" i="1"/>
  <c r="Q376" i="1"/>
  <c r="R376" i="1"/>
  <c r="S376" i="1"/>
  <c r="T376" i="1"/>
  <c r="U376" i="1"/>
  <c r="A165" i="1"/>
  <c r="B165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O165" i="1"/>
  <c r="Q165" i="1"/>
  <c r="R165" i="1"/>
  <c r="S165" i="1"/>
  <c r="T165" i="1"/>
  <c r="U165" i="1"/>
  <c r="A166" i="1"/>
  <c r="B166" i="1"/>
  <c r="C166" i="1"/>
  <c r="D166" i="1"/>
  <c r="E166" i="1"/>
  <c r="F166" i="1"/>
  <c r="G166" i="1"/>
  <c r="H166" i="1"/>
  <c r="I166" i="1"/>
  <c r="J166" i="1"/>
  <c r="K166" i="1"/>
  <c r="L166" i="1"/>
  <c r="M166" i="1"/>
  <c r="N166" i="1"/>
  <c r="O166" i="1"/>
  <c r="P166" i="1"/>
  <c r="Q166" i="1"/>
  <c r="R166" i="1"/>
  <c r="S166" i="1"/>
  <c r="T166" i="1"/>
  <c r="U166" i="1"/>
  <c r="A163" i="1"/>
  <c r="B163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O163" i="1"/>
  <c r="Q163" i="1"/>
  <c r="R163" i="1"/>
  <c r="S163" i="1"/>
  <c r="T163" i="1"/>
  <c r="U163" i="1"/>
  <c r="A164" i="1"/>
  <c r="B164" i="1"/>
  <c r="C164" i="1"/>
  <c r="D164" i="1"/>
  <c r="E164" i="1"/>
  <c r="F164" i="1"/>
  <c r="G164" i="1"/>
  <c r="H164" i="1"/>
  <c r="I164" i="1"/>
  <c r="J164" i="1"/>
  <c r="K164" i="1"/>
  <c r="L164" i="1"/>
  <c r="M164" i="1"/>
  <c r="N164" i="1"/>
  <c r="O164" i="1"/>
  <c r="Q164" i="1"/>
  <c r="R164" i="1"/>
  <c r="S164" i="1"/>
  <c r="T164" i="1"/>
  <c r="U164" i="1"/>
  <c r="A1253" i="1"/>
  <c r="B1253" i="1"/>
  <c r="C1253" i="1"/>
  <c r="D1253" i="1"/>
  <c r="E1253" i="1"/>
  <c r="F1253" i="1"/>
  <c r="G1253" i="1"/>
  <c r="H1253" i="1"/>
  <c r="I1253" i="1"/>
  <c r="J1253" i="1"/>
  <c r="L1253" i="1"/>
  <c r="M1253" i="1"/>
  <c r="N1253" i="1"/>
  <c r="O1253" i="1"/>
  <c r="P1253" i="1"/>
  <c r="Q1253" i="1"/>
  <c r="R1253" i="1"/>
  <c r="S1253" i="1"/>
  <c r="U1253" i="1"/>
  <c r="A111" i="1"/>
  <c r="B111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O111" i="1"/>
  <c r="Q111" i="1"/>
  <c r="R111" i="1"/>
  <c r="S111" i="1"/>
  <c r="T111" i="1"/>
  <c r="U111" i="1"/>
  <c r="A112" i="1"/>
  <c r="B112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A113" i="1"/>
  <c r="B113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A65" i="1"/>
  <c r="B65" i="1"/>
  <c r="C65" i="1"/>
  <c r="D65" i="1"/>
  <c r="E65" i="1"/>
  <c r="F65" i="1"/>
  <c r="G65" i="1"/>
  <c r="H65" i="1"/>
  <c r="I65" i="1"/>
  <c r="J65" i="1"/>
  <c r="K65" i="1"/>
  <c r="L65" i="1"/>
  <c r="M65" i="1"/>
  <c r="N65" i="1"/>
  <c r="O65" i="1"/>
  <c r="Q65" i="1"/>
  <c r="R65" i="1"/>
  <c r="S65" i="1"/>
  <c r="T65" i="1"/>
  <c r="U65" i="1"/>
  <c r="A66" i="1"/>
  <c r="B66" i="1"/>
  <c r="C66" i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A1887" i="1"/>
  <c r="B1887" i="1"/>
  <c r="C1887" i="1"/>
  <c r="D1887" i="1"/>
  <c r="E1887" i="1"/>
  <c r="F1887" i="1"/>
  <c r="G1887" i="1"/>
  <c r="H1887" i="1"/>
  <c r="I1887" i="1"/>
  <c r="J1887" i="1"/>
  <c r="K1887" i="1"/>
  <c r="L1887" i="1"/>
  <c r="M1887" i="1"/>
  <c r="N1887" i="1"/>
  <c r="O1887" i="1"/>
  <c r="P1887" i="1"/>
  <c r="Q1887" i="1"/>
  <c r="R1887" i="1"/>
  <c r="S1887" i="1"/>
  <c r="T1887" i="1"/>
  <c r="U1887" i="1"/>
  <c r="A1884" i="1"/>
  <c r="B1884" i="1"/>
  <c r="C1884" i="1"/>
  <c r="D1884" i="1"/>
  <c r="E1884" i="1"/>
  <c r="F1884" i="1"/>
  <c r="G1884" i="1"/>
  <c r="H1884" i="1"/>
  <c r="I1884" i="1"/>
  <c r="J1884" i="1"/>
  <c r="K1884" i="1"/>
  <c r="L1884" i="1"/>
  <c r="M1884" i="1"/>
  <c r="N1884" i="1"/>
  <c r="O1884" i="1"/>
  <c r="Q1884" i="1"/>
  <c r="R1884" i="1"/>
  <c r="S1884" i="1"/>
  <c r="T1884" i="1"/>
  <c r="U1884" i="1"/>
  <c r="A1885" i="1"/>
  <c r="B1885" i="1"/>
  <c r="C1885" i="1"/>
  <c r="D1885" i="1"/>
  <c r="E1885" i="1"/>
  <c r="F1885" i="1"/>
  <c r="G1885" i="1"/>
  <c r="H1885" i="1"/>
  <c r="I1885" i="1"/>
  <c r="J1885" i="1"/>
  <c r="K1885" i="1"/>
  <c r="L1885" i="1"/>
  <c r="M1885" i="1"/>
  <c r="N1885" i="1"/>
  <c r="O1885" i="1"/>
  <c r="Q1885" i="1"/>
  <c r="R1885" i="1"/>
  <c r="S1885" i="1"/>
  <c r="T1885" i="1"/>
  <c r="U1885" i="1"/>
  <c r="A1886" i="1"/>
  <c r="B1886" i="1"/>
  <c r="C1886" i="1"/>
  <c r="D1886" i="1"/>
  <c r="E1886" i="1"/>
  <c r="F1886" i="1"/>
  <c r="G1886" i="1"/>
  <c r="H1886" i="1"/>
  <c r="I1886" i="1"/>
  <c r="J1886" i="1"/>
  <c r="K1886" i="1"/>
  <c r="L1886" i="1"/>
  <c r="M1886" i="1"/>
  <c r="N1886" i="1"/>
  <c r="O1886" i="1"/>
  <c r="Q1886" i="1"/>
  <c r="R1886" i="1"/>
  <c r="S1886" i="1"/>
  <c r="T1886" i="1"/>
  <c r="U1886" i="1"/>
  <c r="A911" i="1"/>
  <c r="B911" i="1"/>
  <c r="C911" i="1"/>
  <c r="D911" i="1"/>
  <c r="E911" i="1"/>
  <c r="F911" i="1"/>
  <c r="G911" i="1"/>
  <c r="H911" i="1"/>
  <c r="I911" i="1"/>
  <c r="J911" i="1"/>
  <c r="K911" i="1"/>
  <c r="L911" i="1"/>
  <c r="M911" i="1"/>
  <c r="N911" i="1"/>
  <c r="O911" i="1"/>
  <c r="P911" i="1"/>
  <c r="Q911" i="1"/>
  <c r="R911" i="1"/>
  <c r="S911" i="1"/>
  <c r="T911" i="1"/>
  <c r="U911" i="1"/>
  <c r="A1889" i="1"/>
  <c r="B1889" i="1"/>
  <c r="C1889" i="1"/>
  <c r="D1889" i="1"/>
  <c r="E1889" i="1"/>
  <c r="F1889" i="1"/>
  <c r="G1889" i="1"/>
  <c r="H1889" i="1"/>
  <c r="I1889" i="1"/>
  <c r="J1889" i="1"/>
  <c r="K1889" i="1"/>
  <c r="L1889" i="1"/>
  <c r="M1889" i="1"/>
  <c r="N1889" i="1"/>
  <c r="O1889" i="1"/>
  <c r="P1889" i="1"/>
  <c r="Q1889" i="1"/>
  <c r="R1889" i="1"/>
  <c r="S1889" i="1"/>
  <c r="T1889" i="1"/>
  <c r="U1889" i="1"/>
  <c r="A1888" i="1"/>
  <c r="B1888" i="1"/>
  <c r="C1888" i="1"/>
  <c r="D1888" i="1"/>
  <c r="E1888" i="1"/>
  <c r="F1888" i="1"/>
  <c r="G1888" i="1"/>
  <c r="H1888" i="1"/>
  <c r="I1888" i="1"/>
  <c r="J1888" i="1"/>
  <c r="K1888" i="1"/>
  <c r="L1888" i="1"/>
  <c r="M1888" i="1"/>
  <c r="N1888" i="1"/>
  <c r="O1888" i="1"/>
  <c r="Q1888" i="1"/>
  <c r="R1888" i="1"/>
  <c r="S1888" i="1"/>
  <c r="T1888" i="1"/>
  <c r="U1888" i="1"/>
  <c r="A1840" i="1"/>
  <c r="B1840" i="1"/>
  <c r="C1840" i="1"/>
  <c r="D1840" i="1"/>
  <c r="E1840" i="1"/>
  <c r="F1840" i="1"/>
  <c r="G1840" i="1"/>
  <c r="H1840" i="1"/>
  <c r="I1840" i="1"/>
  <c r="J1840" i="1"/>
  <c r="K1840" i="1"/>
  <c r="L1840" i="1"/>
  <c r="M1840" i="1"/>
  <c r="N1840" i="1"/>
  <c r="O1840" i="1"/>
  <c r="P1840" i="1"/>
  <c r="Q1840" i="1"/>
  <c r="R1840" i="1"/>
  <c r="S1840" i="1"/>
  <c r="T1840" i="1"/>
  <c r="U1840" i="1"/>
  <c r="A1841" i="1"/>
  <c r="B1841" i="1"/>
  <c r="C1841" i="1"/>
  <c r="D1841" i="1"/>
  <c r="E1841" i="1"/>
  <c r="F1841" i="1"/>
  <c r="G1841" i="1"/>
  <c r="H1841" i="1"/>
  <c r="I1841" i="1"/>
  <c r="J1841" i="1"/>
  <c r="K1841" i="1"/>
  <c r="L1841" i="1"/>
  <c r="M1841" i="1"/>
  <c r="N1841" i="1"/>
  <c r="O1841" i="1"/>
  <c r="P1841" i="1"/>
  <c r="Q1841" i="1"/>
  <c r="R1841" i="1"/>
  <c r="S1841" i="1"/>
  <c r="T1841" i="1"/>
  <c r="U1841" i="1"/>
  <c r="A1839" i="1"/>
  <c r="B1839" i="1"/>
  <c r="C1839" i="1"/>
  <c r="D1839" i="1"/>
  <c r="E1839" i="1"/>
  <c r="F1839" i="1"/>
  <c r="G1839" i="1"/>
  <c r="H1839" i="1"/>
  <c r="I1839" i="1"/>
  <c r="J1839" i="1"/>
  <c r="K1839" i="1"/>
  <c r="L1839" i="1"/>
  <c r="M1839" i="1"/>
  <c r="N1839" i="1"/>
  <c r="O1839" i="1"/>
  <c r="Q1839" i="1"/>
  <c r="R1839" i="1"/>
  <c r="S1839" i="1"/>
  <c r="T1839" i="1"/>
  <c r="U1839" i="1"/>
  <c r="A1171" i="1"/>
  <c r="B1171" i="1"/>
  <c r="C1171" i="1"/>
  <c r="D1171" i="1"/>
  <c r="E1171" i="1"/>
  <c r="F1171" i="1"/>
  <c r="G1171" i="1"/>
  <c r="H1171" i="1"/>
  <c r="I1171" i="1"/>
  <c r="J1171" i="1"/>
  <c r="K1171" i="1"/>
  <c r="L1171" i="1"/>
  <c r="M1171" i="1"/>
  <c r="N1171" i="1"/>
  <c r="O1171" i="1"/>
  <c r="Q1171" i="1"/>
  <c r="R1171" i="1"/>
  <c r="S1171" i="1"/>
  <c r="T1171" i="1"/>
  <c r="U1171" i="1"/>
  <c r="A1837" i="1"/>
  <c r="B1837" i="1"/>
  <c r="C1837" i="1"/>
  <c r="D1837" i="1"/>
  <c r="E1837" i="1"/>
  <c r="F1837" i="1"/>
  <c r="G1837" i="1"/>
  <c r="H1837" i="1"/>
  <c r="I1837" i="1"/>
  <c r="J1837" i="1"/>
  <c r="K1837" i="1"/>
  <c r="L1837" i="1"/>
  <c r="M1837" i="1"/>
  <c r="N1837" i="1"/>
  <c r="O1837" i="1"/>
  <c r="P1837" i="1"/>
  <c r="Q1837" i="1"/>
  <c r="R1837" i="1"/>
  <c r="S1837" i="1"/>
  <c r="T1837" i="1"/>
  <c r="U1837" i="1"/>
  <c r="A1838" i="1"/>
  <c r="B1838" i="1"/>
  <c r="C1838" i="1"/>
  <c r="D1838" i="1"/>
  <c r="E1838" i="1"/>
  <c r="F1838" i="1"/>
  <c r="G1838" i="1"/>
  <c r="H1838" i="1"/>
  <c r="I1838" i="1"/>
  <c r="J1838" i="1"/>
  <c r="K1838" i="1"/>
  <c r="M1838" i="1"/>
  <c r="N1838" i="1"/>
  <c r="O1838" i="1"/>
  <c r="P1838" i="1"/>
  <c r="Q1838" i="1"/>
  <c r="R1838" i="1"/>
  <c r="S1838" i="1"/>
  <c r="U1838" i="1"/>
  <c r="A1836" i="1"/>
  <c r="B1836" i="1"/>
  <c r="C1836" i="1"/>
  <c r="D1836" i="1"/>
  <c r="E1836" i="1"/>
  <c r="F1836" i="1"/>
  <c r="G1836" i="1"/>
  <c r="H1836" i="1"/>
  <c r="I1836" i="1"/>
  <c r="J1836" i="1"/>
  <c r="K1836" i="1"/>
  <c r="L1836" i="1"/>
  <c r="M1836" i="1"/>
  <c r="N1836" i="1"/>
  <c r="O1836" i="1"/>
  <c r="Q1836" i="1"/>
  <c r="R1836" i="1"/>
  <c r="S1836" i="1"/>
  <c r="T1836" i="1"/>
  <c r="U1836" i="1"/>
  <c r="A1646" i="1"/>
  <c r="B1646" i="1"/>
  <c r="C1646" i="1"/>
  <c r="D1646" i="1"/>
  <c r="E1646" i="1"/>
  <c r="F1646" i="1"/>
  <c r="G1646" i="1"/>
  <c r="H1646" i="1"/>
  <c r="I1646" i="1"/>
  <c r="J1646" i="1"/>
  <c r="K1646" i="1"/>
  <c r="L1646" i="1"/>
  <c r="M1646" i="1"/>
  <c r="N1646" i="1"/>
  <c r="O1646" i="1"/>
  <c r="P1646" i="1"/>
  <c r="Q1646" i="1"/>
  <c r="R1646" i="1"/>
  <c r="S1646" i="1"/>
  <c r="T1646" i="1"/>
  <c r="U1646" i="1"/>
  <c r="A1645" i="1"/>
  <c r="B1645" i="1"/>
  <c r="C1645" i="1"/>
  <c r="D1645" i="1"/>
  <c r="E1645" i="1"/>
  <c r="F1645" i="1"/>
  <c r="G1645" i="1"/>
  <c r="H1645" i="1"/>
  <c r="I1645" i="1"/>
  <c r="J1645" i="1"/>
  <c r="K1645" i="1"/>
  <c r="L1645" i="1"/>
  <c r="M1645" i="1"/>
  <c r="N1645" i="1"/>
  <c r="O1645" i="1"/>
  <c r="Q1645" i="1"/>
  <c r="R1645" i="1"/>
  <c r="S1645" i="1"/>
  <c r="T1645" i="1"/>
  <c r="U1645" i="1"/>
  <c r="A1644" i="1"/>
  <c r="B1644" i="1"/>
  <c r="C1644" i="1"/>
  <c r="D1644" i="1"/>
  <c r="E1644" i="1"/>
  <c r="F1644" i="1"/>
  <c r="G1644" i="1"/>
  <c r="H1644" i="1"/>
  <c r="I1644" i="1"/>
  <c r="J1644" i="1"/>
  <c r="K1644" i="1"/>
  <c r="L1644" i="1"/>
  <c r="M1644" i="1"/>
  <c r="N1644" i="1"/>
  <c r="O1644" i="1"/>
  <c r="Q1644" i="1"/>
  <c r="R1644" i="1"/>
  <c r="S1644" i="1"/>
  <c r="T1644" i="1"/>
  <c r="U1644" i="1"/>
  <c r="A1647" i="1"/>
  <c r="B1647" i="1"/>
  <c r="C1647" i="1"/>
  <c r="D1647" i="1"/>
  <c r="E1647" i="1"/>
  <c r="F1647" i="1"/>
  <c r="G1647" i="1"/>
  <c r="H1647" i="1"/>
  <c r="I1647" i="1"/>
  <c r="J1647" i="1"/>
  <c r="K1647" i="1"/>
  <c r="L1647" i="1"/>
  <c r="M1647" i="1"/>
  <c r="N1647" i="1"/>
  <c r="O1647" i="1"/>
  <c r="P1647" i="1"/>
  <c r="Q1647" i="1"/>
  <c r="R1647" i="1"/>
  <c r="S1647" i="1"/>
  <c r="T1647" i="1"/>
  <c r="U1647" i="1"/>
  <c r="A1648" i="1"/>
  <c r="B1648" i="1"/>
  <c r="C1648" i="1"/>
  <c r="D1648" i="1"/>
  <c r="E1648" i="1"/>
  <c r="F1648" i="1"/>
  <c r="G1648" i="1"/>
  <c r="H1648" i="1"/>
  <c r="I1648" i="1"/>
  <c r="J1648" i="1"/>
  <c r="K1648" i="1"/>
  <c r="L1648" i="1"/>
  <c r="M1648" i="1"/>
  <c r="N1648" i="1"/>
  <c r="O1648" i="1"/>
  <c r="P1648" i="1"/>
  <c r="Q1648" i="1"/>
  <c r="R1648" i="1"/>
  <c r="S1648" i="1"/>
  <c r="T1648" i="1"/>
  <c r="U1648" i="1"/>
  <c r="A1569" i="1"/>
  <c r="B1569" i="1"/>
  <c r="C1569" i="1"/>
  <c r="D1569" i="1"/>
  <c r="E1569" i="1"/>
  <c r="F1569" i="1"/>
  <c r="G1569" i="1"/>
  <c r="H1569" i="1"/>
  <c r="I1569" i="1"/>
  <c r="J1569" i="1"/>
  <c r="K1569" i="1"/>
  <c r="L1569" i="1"/>
  <c r="M1569" i="1"/>
  <c r="N1569" i="1"/>
  <c r="O1569" i="1"/>
  <c r="P1569" i="1"/>
  <c r="Q1569" i="1"/>
  <c r="R1569" i="1"/>
  <c r="S1569" i="1"/>
  <c r="U1569" i="1"/>
  <c r="A1449" i="1"/>
  <c r="B1449" i="1"/>
  <c r="C1449" i="1"/>
  <c r="D1449" i="1"/>
  <c r="E1449" i="1"/>
  <c r="F1449" i="1"/>
  <c r="G1449" i="1"/>
  <c r="H1449" i="1"/>
  <c r="I1449" i="1"/>
  <c r="J1449" i="1"/>
  <c r="K1449" i="1"/>
  <c r="L1449" i="1"/>
  <c r="M1449" i="1"/>
  <c r="N1449" i="1"/>
  <c r="O1449" i="1"/>
  <c r="Q1449" i="1"/>
  <c r="R1449" i="1"/>
  <c r="S1449" i="1"/>
  <c r="U1449" i="1"/>
  <c r="A1506" i="1"/>
  <c r="B1506" i="1"/>
  <c r="C1506" i="1"/>
  <c r="D1506" i="1"/>
  <c r="E1506" i="1"/>
  <c r="F1506" i="1"/>
  <c r="G1506" i="1"/>
  <c r="H1506" i="1"/>
  <c r="I1506" i="1"/>
  <c r="J1506" i="1"/>
  <c r="K1506" i="1"/>
  <c r="L1506" i="1"/>
  <c r="M1506" i="1"/>
  <c r="N1506" i="1"/>
  <c r="O1506" i="1"/>
  <c r="Q1506" i="1"/>
  <c r="R1506" i="1"/>
  <c r="S1506" i="1"/>
  <c r="T1506" i="1"/>
  <c r="U1506" i="1"/>
  <c r="A1567" i="1"/>
  <c r="B1567" i="1"/>
  <c r="C1567" i="1"/>
  <c r="D1567" i="1"/>
  <c r="E1567" i="1"/>
  <c r="F1567" i="1"/>
  <c r="G1567" i="1"/>
  <c r="H1567" i="1"/>
  <c r="I1567" i="1"/>
  <c r="J1567" i="1"/>
  <c r="K1567" i="1"/>
  <c r="L1567" i="1"/>
  <c r="M1567" i="1"/>
  <c r="N1567" i="1"/>
  <c r="O1567" i="1"/>
  <c r="P1567" i="1"/>
  <c r="Q1567" i="1"/>
  <c r="R1567" i="1"/>
  <c r="S1567" i="1"/>
  <c r="T1567" i="1"/>
  <c r="U1567" i="1"/>
  <c r="A1568" i="1"/>
  <c r="B1568" i="1"/>
  <c r="C1568" i="1"/>
  <c r="D1568" i="1"/>
  <c r="E1568" i="1"/>
  <c r="F1568" i="1"/>
  <c r="G1568" i="1"/>
  <c r="H1568" i="1"/>
  <c r="I1568" i="1"/>
  <c r="J1568" i="1"/>
  <c r="K1568" i="1"/>
  <c r="L1568" i="1"/>
  <c r="M1568" i="1"/>
  <c r="N1568" i="1"/>
  <c r="O1568" i="1"/>
  <c r="P1568" i="1"/>
  <c r="Q1568" i="1"/>
  <c r="R1568" i="1"/>
  <c r="S1568" i="1"/>
  <c r="U1568" i="1"/>
  <c r="A1504" i="1"/>
  <c r="B1504" i="1"/>
  <c r="C1504" i="1"/>
  <c r="D1504" i="1"/>
  <c r="E1504" i="1"/>
  <c r="F1504" i="1"/>
  <c r="G1504" i="1"/>
  <c r="H1504" i="1"/>
  <c r="I1504" i="1"/>
  <c r="J1504" i="1"/>
  <c r="K1504" i="1"/>
  <c r="L1504" i="1"/>
  <c r="M1504" i="1"/>
  <c r="N1504" i="1"/>
  <c r="O1504" i="1"/>
  <c r="Q1504" i="1"/>
  <c r="R1504" i="1"/>
  <c r="S1504" i="1"/>
  <c r="T1504" i="1"/>
  <c r="U1504" i="1"/>
  <c r="A1505" i="1"/>
  <c r="B1505" i="1"/>
  <c r="C1505" i="1"/>
  <c r="D1505" i="1"/>
  <c r="E1505" i="1"/>
  <c r="F1505" i="1"/>
  <c r="G1505" i="1"/>
  <c r="H1505" i="1"/>
  <c r="I1505" i="1"/>
  <c r="J1505" i="1"/>
  <c r="K1505" i="1"/>
  <c r="M1505" i="1"/>
  <c r="N1505" i="1"/>
  <c r="O1505" i="1"/>
  <c r="P1505" i="1"/>
  <c r="Q1505" i="1"/>
  <c r="R1505" i="1"/>
  <c r="S1505" i="1"/>
  <c r="T1505" i="1"/>
  <c r="U1505" i="1"/>
  <c r="A1448" i="1"/>
  <c r="B1448" i="1"/>
  <c r="C1448" i="1"/>
  <c r="D1448" i="1"/>
  <c r="E1448" i="1"/>
  <c r="F1448" i="1"/>
  <c r="G1448" i="1"/>
  <c r="H1448" i="1"/>
  <c r="I1448" i="1"/>
  <c r="J1448" i="1"/>
  <c r="K1448" i="1"/>
  <c r="L1448" i="1"/>
  <c r="M1448" i="1"/>
  <c r="N1448" i="1"/>
  <c r="O1448" i="1"/>
  <c r="P1448" i="1"/>
  <c r="Q1448" i="1"/>
  <c r="R1448" i="1"/>
  <c r="S1448" i="1"/>
  <c r="T1448" i="1"/>
  <c r="U1448" i="1"/>
  <c r="A1445" i="1"/>
  <c r="B1445" i="1"/>
  <c r="C1445" i="1"/>
  <c r="D1445" i="1"/>
  <c r="E1445" i="1"/>
  <c r="F1445" i="1"/>
  <c r="G1445" i="1"/>
  <c r="H1445" i="1"/>
  <c r="I1445" i="1"/>
  <c r="J1445" i="1"/>
  <c r="K1445" i="1"/>
  <c r="L1445" i="1"/>
  <c r="M1445" i="1"/>
  <c r="N1445" i="1"/>
  <c r="O1445" i="1"/>
  <c r="Q1445" i="1"/>
  <c r="R1445" i="1"/>
  <c r="S1445" i="1"/>
  <c r="T1445" i="1"/>
  <c r="U1445" i="1"/>
  <c r="A1446" i="1"/>
  <c r="B1446" i="1"/>
  <c r="C1446" i="1"/>
  <c r="D1446" i="1"/>
  <c r="E1446" i="1"/>
  <c r="F1446" i="1"/>
  <c r="G1446" i="1"/>
  <c r="H1446" i="1"/>
  <c r="I1446" i="1"/>
  <c r="J1446" i="1"/>
  <c r="K1446" i="1"/>
  <c r="L1446" i="1"/>
  <c r="M1446" i="1"/>
  <c r="N1446" i="1"/>
  <c r="O1446" i="1"/>
  <c r="P1446" i="1"/>
  <c r="Q1446" i="1"/>
  <c r="R1446" i="1"/>
  <c r="S1446" i="1"/>
  <c r="T1446" i="1"/>
  <c r="U1446" i="1"/>
  <c r="A1447" i="1"/>
  <c r="B1447" i="1"/>
  <c r="C1447" i="1"/>
  <c r="D1447" i="1"/>
  <c r="E1447" i="1"/>
  <c r="F1447" i="1"/>
  <c r="G1447" i="1"/>
  <c r="H1447" i="1"/>
  <c r="I1447" i="1"/>
  <c r="J1447" i="1"/>
  <c r="K1447" i="1"/>
  <c r="L1447" i="1"/>
  <c r="M1447" i="1"/>
  <c r="N1447" i="1"/>
  <c r="O1447" i="1"/>
  <c r="P1447" i="1"/>
  <c r="Q1447" i="1"/>
  <c r="R1447" i="1"/>
  <c r="S1447" i="1"/>
  <c r="T1447" i="1"/>
  <c r="U1447" i="1"/>
  <c r="A667" i="1"/>
  <c r="B667" i="1"/>
  <c r="C667" i="1"/>
  <c r="D667" i="1"/>
  <c r="E667" i="1"/>
  <c r="F667" i="1"/>
  <c r="G667" i="1"/>
  <c r="H667" i="1"/>
  <c r="I667" i="1"/>
  <c r="J667" i="1"/>
  <c r="K667" i="1"/>
  <c r="L667" i="1"/>
  <c r="M667" i="1"/>
  <c r="N667" i="1"/>
  <c r="O667" i="1"/>
  <c r="P667" i="1"/>
  <c r="Q667" i="1"/>
  <c r="R667" i="1"/>
  <c r="S667" i="1"/>
  <c r="T667" i="1"/>
  <c r="U667" i="1"/>
  <c r="A1444" i="1"/>
  <c r="B1444" i="1"/>
  <c r="C1444" i="1"/>
  <c r="D1444" i="1"/>
  <c r="E1444" i="1"/>
  <c r="F1444" i="1"/>
  <c r="G1444" i="1"/>
  <c r="H1444" i="1"/>
  <c r="I1444" i="1"/>
  <c r="J1444" i="1"/>
  <c r="K1444" i="1"/>
  <c r="L1444" i="1"/>
  <c r="M1444" i="1"/>
  <c r="N1444" i="1"/>
  <c r="O1444" i="1"/>
  <c r="P1444" i="1"/>
  <c r="Q1444" i="1"/>
  <c r="R1444" i="1"/>
  <c r="S1444" i="1"/>
  <c r="T1444" i="1"/>
  <c r="U1444" i="1"/>
  <c r="A1443" i="1"/>
  <c r="B1443" i="1"/>
  <c r="C1443" i="1"/>
  <c r="D1443" i="1"/>
  <c r="E1443" i="1"/>
  <c r="F1443" i="1"/>
  <c r="G1443" i="1"/>
  <c r="H1443" i="1"/>
  <c r="I1443" i="1"/>
  <c r="J1443" i="1"/>
  <c r="K1443" i="1"/>
  <c r="L1443" i="1"/>
  <c r="M1443" i="1"/>
  <c r="N1443" i="1"/>
  <c r="O1443" i="1"/>
  <c r="Q1443" i="1"/>
  <c r="R1443" i="1"/>
  <c r="S1443" i="1"/>
  <c r="T1443" i="1"/>
  <c r="U1443" i="1"/>
  <c r="A1374" i="1"/>
  <c r="B1374" i="1"/>
  <c r="C1374" i="1"/>
  <c r="D1374" i="1"/>
  <c r="E1374" i="1"/>
  <c r="F1374" i="1"/>
  <c r="G1374" i="1"/>
  <c r="H1374" i="1"/>
  <c r="I1374" i="1"/>
  <c r="J1374" i="1"/>
  <c r="K1374" i="1"/>
  <c r="L1374" i="1"/>
  <c r="M1374" i="1"/>
  <c r="N1374" i="1"/>
  <c r="O1374" i="1"/>
  <c r="P1374" i="1"/>
  <c r="Q1374" i="1"/>
  <c r="R1374" i="1"/>
  <c r="S1374" i="1"/>
  <c r="T1374" i="1"/>
  <c r="U1374" i="1"/>
  <c r="A1375" i="1"/>
  <c r="B1375" i="1"/>
  <c r="C1375" i="1"/>
  <c r="D1375" i="1"/>
  <c r="E1375" i="1"/>
  <c r="F1375" i="1"/>
  <c r="G1375" i="1"/>
  <c r="H1375" i="1"/>
  <c r="I1375" i="1"/>
  <c r="J1375" i="1"/>
  <c r="K1375" i="1"/>
  <c r="L1375" i="1"/>
  <c r="M1375" i="1"/>
  <c r="N1375" i="1"/>
  <c r="O1375" i="1"/>
  <c r="P1375" i="1"/>
  <c r="Q1375" i="1"/>
  <c r="R1375" i="1"/>
  <c r="S1375" i="1"/>
  <c r="T1375" i="1"/>
  <c r="U1375" i="1"/>
  <c r="A1169" i="1"/>
  <c r="B1169" i="1"/>
  <c r="C1169" i="1"/>
  <c r="D1169" i="1"/>
  <c r="E1169" i="1"/>
  <c r="F1169" i="1"/>
  <c r="G1169" i="1"/>
  <c r="H1169" i="1"/>
  <c r="I1169" i="1"/>
  <c r="J1169" i="1"/>
  <c r="K1169" i="1"/>
  <c r="L1169" i="1"/>
  <c r="M1169" i="1"/>
  <c r="N1169" i="1"/>
  <c r="O1169" i="1"/>
  <c r="Q1169" i="1"/>
  <c r="R1169" i="1"/>
  <c r="S1169" i="1"/>
  <c r="T1169" i="1"/>
  <c r="U1169" i="1"/>
  <c r="A1168" i="1"/>
  <c r="B1168" i="1"/>
  <c r="C1168" i="1"/>
  <c r="D1168" i="1"/>
  <c r="E1168" i="1"/>
  <c r="F1168" i="1"/>
  <c r="G1168" i="1"/>
  <c r="H1168" i="1"/>
  <c r="I1168" i="1"/>
  <c r="J1168" i="1"/>
  <c r="K1168" i="1"/>
  <c r="L1168" i="1"/>
  <c r="M1168" i="1"/>
  <c r="N1168" i="1"/>
  <c r="O1168" i="1"/>
  <c r="Q1168" i="1"/>
  <c r="R1168" i="1"/>
  <c r="S1168" i="1"/>
  <c r="T1168" i="1"/>
  <c r="U1168" i="1"/>
  <c r="A1170" i="1"/>
  <c r="B1170" i="1"/>
  <c r="C1170" i="1"/>
  <c r="D1170" i="1"/>
  <c r="E1170" i="1"/>
  <c r="F1170" i="1"/>
  <c r="G1170" i="1"/>
  <c r="H1170" i="1"/>
  <c r="I1170" i="1"/>
  <c r="J1170" i="1"/>
  <c r="K1170" i="1"/>
  <c r="L1170" i="1"/>
  <c r="M1170" i="1"/>
  <c r="N1170" i="1"/>
  <c r="O1170" i="1"/>
  <c r="P1170" i="1"/>
  <c r="Q1170" i="1"/>
  <c r="R1170" i="1"/>
  <c r="S1170" i="1"/>
  <c r="T1170" i="1"/>
  <c r="U1170" i="1"/>
  <c r="A1140" i="1"/>
  <c r="B1140" i="1"/>
  <c r="C1140" i="1"/>
  <c r="D1140" i="1"/>
  <c r="E1140" i="1"/>
  <c r="F1140" i="1"/>
  <c r="G1140" i="1"/>
  <c r="H1140" i="1"/>
  <c r="I1140" i="1"/>
  <c r="J1140" i="1"/>
  <c r="K1140" i="1"/>
  <c r="L1140" i="1"/>
  <c r="M1140" i="1"/>
  <c r="N1140" i="1"/>
  <c r="O1140" i="1"/>
  <c r="P1140" i="1"/>
  <c r="Q1140" i="1"/>
  <c r="R1140" i="1"/>
  <c r="S1140" i="1"/>
  <c r="T1140" i="1"/>
  <c r="U1140" i="1"/>
  <c r="A1139" i="1"/>
  <c r="B1139" i="1"/>
  <c r="C1139" i="1"/>
  <c r="D1139" i="1"/>
  <c r="E1139" i="1"/>
  <c r="F1139" i="1"/>
  <c r="G1139" i="1"/>
  <c r="H1139" i="1"/>
  <c r="I1139" i="1"/>
  <c r="J1139" i="1"/>
  <c r="K1139" i="1"/>
  <c r="L1139" i="1"/>
  <c r="M1139" i="1"/>
  <c r="N1139" i="1"/>
  <c r="O1139" i="1"/>
  <c r="P1139" i="1"/>
  <c r="Q1139" i="1"/>
  <c r="R1139" i="1"/>
  <c r="S1139" i="1"/>
  <c r="T1139" i="1"/>
  <c r="U1139" i="1"/>
  <c r="A1138" i="1"/>
  <c r="B1138" i="1"/>
  <c r="C1138" i="1"/>
  <c r="D1138" i="1"/>
  <c r="E1138" i="1"/>
  <c r="F1138" i="1"/>
  <c r="G1138" i="1"/>
  <c r="H1138" i="1"/>
  <c r="I1138" i="1"/>
  <c r="J1138" i="1"/>
  <c r="K1138" i="1"/>
  <c r="L1138" i="1"/>
  <c r="M1138" i="1"/>
  <c r="N1138" i="1"/>
  <c r="O1138" i="1"/>
  <c r="Q1138" i="1"/>
  <c r="R1138" i="1"/>
  <c r="S1138" i="1"/>
  <c r="T1138" i="1"/>
  <c r="U1138" i="1"/>
  <c r="A1057" i="1"/>
  <c r="B1057" i="1"/>
  <c r="C1057" i="1"/>
  <c r="D1057" i="1"/>
  <c r="E1057" i="1"/>
  <c r="F1057" i="1"/>
  <c r="G1057" i="1"/>
  <c r="H1057" i="1"/>
  <c r="I1057" i="1"/>
  <c r="J1057" i="1"/>
  <c r="K1057" i="1"/>
  <c r="L1057" i="1"/>
  <c r="M1057" i="1"/>
  <c r="N1057" i="1"/>
  <c r="O1057" i="1"/>
  <c r="Q1057" i="1"/>
  <c r="R1057" i="1"/>
  <c r="S1057" i="1"/>
  <c r="T1057" i="1"/>
  <c r="U1057" i="1"/>
  <c r="A993" i="1"/>
  <c r="B993" i="1"/>
  <c r="C993" i="1"/>
  <c r="D993" i="1"/>
  <c r="E993" i="1"/>
  <c r="F993" i="1"/>
  <c r="G993" i="1"/>
  <c r="H993" i="1"/>
  <c r="I993" i="1"/>
  <c r="J993" i="1"/>
  <c r="K993" i="1"/>
  <c r="L993" i="1"/>
  <c r="M993" i="1"/>
  <c r="N993" i="1"/>
  <c r="O993" i="1"/>
  <c r="Q993" i="1"/>
  <c r="R993" i="1"/>
  <c r="S993" i="1"/>
  <c r="T993" i="1"/>
  <c r="U993" i="1"/>
  <c r="A995" i="1"/>
  <c r="B995" i="1"/>
  <c r="C995" i="1"/>
  <c r="D995" i="1"/>
  <c r="E995" i="1"/>
  <c r="F995" i="1"/>
  <c r="G995" i="1"/>
  <c r="H995" i="1"/>
  <c r="I995" i="1"/>
  <c r="J995" i="1"/>
  <c r="K995" i="1"/>
  <c r="M995" i="1"/>
  <c r="N995" i="1"/>
  <c r="O995" i="1"/>
  <c r="P995" i="1"/>
  <c r="Q995" i="1"/>
  <c r="R995" i="1"/>
  <c r="S995" i="1"/>
  <c r="T995" i="1"/>
  <c r="U995" i="1"/>
  <c r="A994" i="1"/>
  <c r="B994" i="1"/>
  <c r="C994" i="1"/>
  <c r="D994" i="1"/>
  <c r="E994" i="1"/>
  <c r="F994" i="1"/>
  <c r="G994" i="1"/>
  <c r="H994" i="1"/>
  <c r="I994" i="1"/>
  <c r="J994" i="1"/>
  <c r="K994" i="1"/>
  <c r="L994" i="1"/>
  <c r="M994" i="1"/>
  <c r="N994" i="1"/>
  <c r="O994" i="1"/>
  <c r="P994" i="1"/>
  <c r="Q994" i="1"/>
  <c r="R994" i="1"/>
  <c r="S994" i="1"/>
  <c r="T994" i="1"/>
  <c r="U994" i="1"/>
  <c r="A912" i="1"/>
  <c r="B912" i="1"/>
  <c r="C912" i="1"/>
  <c r="D912" i="1"/>
  <c r="E912" i="1"/>
  <c r="F912" i="1"/>
  <c r="G912" i="1"/>
  <c r="H912" i="1"/>
  <c r="I912" i="1"/>
  <c r="J912" i="1"/>
  <c r="K912" i="1"/>
  <c r="L912" i="1"/>
  <c r="M912" i="1"/>
  <c r="N912" i="1"/>
  <c r="O912" i="1"/>
  <c r="Q912" i="1"/>
  <c r="R912" i="1"/>
  <c r="S912" i="1"/>
  <c r="T912" i="1"/>
  <c r="U912" i="1"/>
  <c r="A916" i="1"/>
  <c r="B916" i="1"/>
  <c r="C916" i="1"/>
  <c r="D916" i="1"/>
  <c r="E916" i="1"/>
  <c r="F916" i="1"/>
  <c r="G916" i="1"/>
  <c r="H916" i="1"/>
  <c r="I916" i="1"/>
  <c r="J916" i="1"/>
  <c r="K916" i="1"/>
  <c r="L916" i="1"/>
  <c r="M916" i="1"/>
  <c r="N916" i="1"/>
  <c r="O916" i="1"/>
  <c r="P916" i="1"/>
  <c r="Q916" i="1"/>
  <c r="R916" i="1"/>
  <c r="S916" i="1"/>
  <c r="T916" i="1"/>
  <c r="U916" i="1"/>
  <c r="A914" i="1"/>
  <c r="B914" i="1"/>
  <c r="C914" i="1"/>
  <c r="D914" i="1"/>
  <c r="E914" i="1"/>
  <c r="F914" i="1"/>
  <c r="G914" i="1"/>
  <c r="H914" i="1"/>
  <c r="I914" i="1"/>
  <c r="J914" i="1"/>
  <c r="K914" i="1"/>
  <c r="L914" i="1"/>
  <c r="M914" i="1"/>
  <c r="N914" i="1"/>
  <c r="O914" i="1"/>
  <c r="P914" i="1"/>
  <c r="Q914" i="1"/>
  <c r="R914" i="1"/>
  <c r="S914" i="1"/>
  <c r="T914" i="1"/>
  <c r="U914" i="1"/>
  <c r="A913" i="1"/>
  <c r="B913" i="1"/>
  <c r="C913" i="1"/>
  <c r="D913" i="1"/>
  <c r="E913" i="1"/>
  <c r="F913" i="1"/>
  <c r="G913" i="1"/>
  <c r="H913" i="1"/>
  <c r="I913" i="1"/>
  <c r="J913" i="1"/>
  <c r="K913" i="1"/>
  <c r="L913" i="1"/>
  <c r="M913" i="1"/>
  <c r="N913" i="1"/>
  <c r="O913" i="1"/>
  <c r="Q913" i="1"/>
  <c r="R913" i="1"/>
  <c r="S913" i="1"/>
  <c r="T913" i="1"/>
  <c r="U913" i="1"/>
  <c r="A915" i="1"/>
  <c r="B915" i="1"/>
  <c r="C915" i="1"/>
  <c r="D915" i="1"/>
  <c r="E915" i="1"/>
  <c r="F915" i="1"/>
  <c r="G915" i="1"/>
  <c r="H915" i="1"/>
  <c r="I915" i="1"/>
  <c r="J915" i="1"/>
  <c r="K915" i="1"/>
  <c r="L915" i="1"/>
  <c r="M915" i="1"/>
  <c r="N915" i="1"/>
  <c r="O915" i="1"/>
  <c r="P915" i="1"/>
  <c r="Q915" i="1"/>
  <c r="R915" i="1"/>
  <c r="S915" i="1"/>
  <c r="T915" i="1"/>
  <c r="U915" i="1"/>
  <c r="A741" i="1"/>
  <c r="B741" i="1"/>
  <c r="C741" i="1"/>
  <c r="D741" i="1"/>
  <c r="E741" i="1"/>
  <c r="F741" i="1"/>
  <c r="G741" i="1"/>
  <c r="H741" i="1"/>
  <c r="I741" i="1"/>
  <c r="J741" i="1"/>
  <c r="K741" i="1"/>
  <c r="L741" i="1"/>
  <c r="M741" i="1"/>
  <c r="N741" i="1"/>
  <c r="O741" i="1"/>
  <c r="Q741" i="1"/>
  <c r="R741" i="1"/>
  <c r="S741" i="1"/>
  <c r="T741" i="1"/>
  <c r="U741" i="1"/>
  <c r="A742" i="1"/>
  <c r="B742" i="1"/>
  <c r="C742" i="1"/>
  <c r="D742" i="1"/>
  <c r="E742" i="1"/>
  <c r="F742" i="1"/>
  <c r="G742" i="1"/>
  <c r="H742" i="1"/>
  <c r="I742" i="1"/>
  <c r="J742" i="1"/>
  <c r="K742" i="1"/>
  <c r="L742" i="1"/>
  <c r="M742" i="1"/>
  <c r="N742" i="1"/>
  <c r="O742" i="1"/>
  <c r="Q742" i="1"/>
  <c r="R742" i="1"/>
  <c r="S742" i="1"/>
  <c r="T742" i="1"/>
  <c r="U742" i="1"/>
  <c r="A694" i="1"/>
  <c r="B694" i="1"/>
  <c r="C694" i="1"/>
  <c r="D694" i="1"/>
  <c r="E694" i="1"/>
  <c r="F694" i="1"/>
  <c r="G694" i="1"/>
  <c r="H694" i="1"/>
  <c r="I694" i="1"/>
  <c r="J694" i="1"/>
  <c r="K694" i="1"/>
  <c r="L694" i="1"/>
  <c r="M694" i="1"/>
  <c r="N694" i="1"/>
  <c r="O694" i="1"/>
  <c r="P694" i="1"/>
  <c r="Q694" i="1"/>
  <c r="R694" i="1"/>
  <c r="S694" i="1"/>
  <c r="T694" i="1"/>
  <c r="U694" i="1"/>
  <c r="A695" i="1"/>
  <c r="B695" i="1"/>
  <c r="C695" i="1"/>
  <c r="D695" i="1"/>
  <c r="E695" i="1"/>
  <c r="F695" i="1"/>
  <c r="G695" i="1"/>
  <c r="H695" i="1"/>
  <c r="I695" i="1"/>
  <c r="J695" i="1"/>
  <c r="K695" i="1"/>
  <c r="L695" i="1"/>
  <c r="M695" i="1"/>
  <c r="N695" i="1"/>
  <c r="O695" i="1"/>
  <c r="P695" i="1"/>
  <c r="Q695" i="1"/>
  <c r="R695" i="1"/>
  <c r="S695" i="1"/>
  <c r="T695" i="1"/>
  <c r="U695" i="1"/>
  <c r="A696" i="1"/>
  <c r="B696" i="1"/>
  <c r="C696" i="1"/>
  <c r="D696" i="1"/>
  <c r="E696" i="1"/>
  <c r="F696" i="1"/>
  <c r="G696" i="1"/>
  <c r="H696" i="1"/>
  <c r="I696" i="1"/>
  <c r="J696" i="1"/>
  <c r="K696" i="1"/>
  <c r="L696" i="1"/>
  <c r="M696" i="1"/>
  <c r="N696" i="1"/>
  <c r="O696" i="1"/>
  <c r="P696" i="1"/>
  <c r="Q696" i="1"/>
  <c r="R696" i="1"/>
  <c r="S696" i="1"/>
  <c r="T696" i="1"/>
  <c r="U696" i="1"/>
  <c r="A697" i="1"/>
  <c r="B697" i="1"/>
  <c r="C697" i="1"/>
  <c r="D697" i="1"/>
  <c r="E697" i="1"/>
  <c r="F697" i="1"/>
  <c r="G697" i="1"/>
  <c r="H697" i="1"/>
  <c r="I697" i="1"/>
  <c r="J697" i="1"/>
  <c r="K697" i="1"/>
  <c r="L697" i="1"/>
  <c r="M697" i="1"/>
  <c r="N697" i="1"/>
  <c r="O697" i="1"/>
  <c r="P697" i="1"/>
  <c r="Q697" i="1"/>
  <c r="R697" i="1"/>
  <c r="S697" i="1"/>
  <c r="T697" i="1"/>
  <c r="U697" i="1"/>
  <c r="A693" i="1"/>
  <c r="B693" i="1"/>
  <c r="C693" i="1"/>
  <c r="D693" i="1"/>
  <c r="E693" i="1"/>
  <c r="F693" i="1"/>
  <c r="G693" i="1"/>
  <c r="H693" i="1"/>
  <c r="I693" i="1"/>
  <c r="J693" i="1"/>
  <c r="K693" i="1"/>
  <c r="M693" i="1"/>
  <c r="N693" i="1"/>
  <c r="O693" i="1"/>
  <c r="P693" i="1"/>
  <c r="Q693" i="1"/>
  <c r="R693" i="1"/>
  <c r="S693" i="1"/>
  <c r="T693" i="1"/>
  <c r="U693" i="1"/>
  <c r="A690" i="1"/>
  <c r="B690" i="1"/>
  <c r="C690" i="1"/>
  <c r="D690" i="1"/>
  <c r="E690" i="1"/>
  <c r="F690" i="1"/>
  <c r="G690" i="1"/>
  <c r="H690" i="1"/>
  <c r="I690" i="1"/>
  <c r="J690" i="1"/>
  <c r="K690" i="1"/>
  <c r="L690" i="1"/>
  <c r="M690" i="1"/>
  <c r="N690" i="1"/>
  <c r="O690" i="1"/>
  <c r="P690" i="1"/>
  <c r="Q690" i="1"/>
  <c r="R690" i="1"/>
  <c r="S690" i="1"/>
  <c r="T690" i="1"/>
  <c r="U690" i="1"/>
  <c r="A689" i="1"/>
  <c r="B689" i="1"/>
  <c r="C689" i="1"/>
  <c r="D689" i="1"/>
  <c r="E689" i="1"/>
  <c r="F689" i="1"/>
  <c r="G689" i="1"/>
  <c r="H689" i="1"/>
  <c r="I689" i="1"/>
  <c r="J689" i="1"/>
  <c r="K689" i="1"/>
  <c r="L689" i="1"/>
  <c r="M689" i="1"/>
  <c r="N689" i="1"/>
  <c r="O689" i="1"/>
  <c r="Q689" i="1"/>
  <c r="R689" i="1"/>
  <c r="S689" i="1"/>
  <c r="T689" i="1"/>
  <c r="U689" i="1"/>
  <c r="A691" i="1"/>
  <c r="B691" i="1"/>
  <c r="C691" i="1"/>
  <c r="D691" i="1"/>
  <c r="E691" i="1"/>
  <c r="F691" i="1"/>
  <c r="G691" i="1"/>
  <c r="H691" i="1"/>
  <c r="I691" i="1"/>
  <c r="J691" i="1"/>
  <c r="K691" i="1"/>
  <c r="L691" i="1"/>
  <c r="M691" i="1"/>
  <c r="N691" i="1"/>
  <c r="O691" i="1"/>
  <c r="P691" i="1"/>
  <c r="Q691" i="1"/>
  <c r="R691" i="1"/>
  <c r="S691" i="1"/>
  <c r="T691" i="1"/>
  <c r="U691" i="1"/>
  <c r="A692" i="1"/>
  <c r="B692" i="1"/>
  <c r="C692" i="1"/>
  <c r="D692" i="1"/>
  <c r="E692" i="1"/>
  <c r="F692" i="1"/>
  <c r="G692" i="1"/>
  <c r="H692" i="1"/>
  <c r="I692" i="1"/>
  <c r="J692" i="1"/>
  <c r="K692" i="1"/>
  <c r="M692" i="1"/>
  <c r="N692" i="1"/>
  <c r="O692" i="1"/>
  <c r="P692" i="1"/>
  <c r="Q692" i="1"/>
  <c r="R692" i="1"/>
  <c r="S692" i="1"/>
  <c r="T692" i="1"/>
  <c r="U692" i="1"/>
  <c r="A626" i="1"/>
  <c r="B626" i="1"/>
  <c r="C626" i="1"/>
  <c r="D626" i="1"/>
  <c r="E626" i="1"/>
  <c r="F626" i="1"/>
  <c r="G626" i="1"/>
  <c r="H626" i="1"/>
  <c r="I626" i="1"/>
  <c r="J626" i="1"/>
  <c r="K626" i="1"/>
  <c r="L626" i="1"/>
  <c r="M626" i="1"/>
  <c r="N626" i="1"/>
  <c r="O626" i="1"/>
  <c r="P626" i="1"/>
  <c r="Q626" i="1"/>
  <c r="R626" i="1"/>
  <c r="S626" i="1"/>
  <c r="T626" i="1"/>
  <c r="U626" i="1"/>
  <c r="A627" i="1"/>
  <c r="B627" i="1"/>
  <c r="C627" i="1"/>
  <c r="D627" i="1"/>
  <c r="E627" i="1"/>
  <c r="F627" i="1"/>
  <c r="G627" i="1"/>
  <c r="H627" i="1"/>
  <c r="I627" i="1"/>
  <c r="J627" i="1"/>
  <c r="K627" i="1"/>
  <c r="L627" i="1"/>
  <c r="M627" i="1"/>
  <c r="N627" i="1"/>
  <c r="O627" i="1"/>
  <c r="P627" i="1"/>
  <c r="Q627" i="1"/>
  <c r="R627" i="1"/>
  <c r="S627" i="1"/>
  <c r="T627" i="1"/>
  <c r="U627" i="1"/>
  <c r="A628" i="1"/>
  <c r="B628" i="1"/>
  <c r="C628" i="1"/>
  <c r="D628" i="1"/>
  <c r="E628" i="1"/>
  <c r="F628" i="1"/>
  <c r="G628" i="1"/>
  <c r="H628" i="1"/>
  <c r="I628" i="1"/>
  <c r="J628" i="1"/>
  <c r="K628" i="1"/>
  <c r="L628" i="1"/>
  <c r="M628" i="1"/>
  <c r="N628" i="1"/>
  <c r="O628" i="1"/>
  <c r="P628" i="1"/>
  <c r="Q628" i="1"/>
  <c r="R628" i="1"/>
  <c r="S628" i="1"/>
  <c r="T628" i="1"/>
  <c r="U628" i="1"/>
  <c r="A629" i="1"/>
  <c r="B629" i="1"/>
  <c r="C629" i="1"/>
  <c r="D629" i="1"/>
  <c r="E629" i="1"/>
  <c r="F629" i="1"/>
  <c r="G629" i="1"/>
  <c r="H629" i="1"/>
  <c r="I629" i="1"/>
  <c r="J629" i="1"/>
  <c r="K629" i="1"/>
  <c r="L629" i="1"/>
  <c r="M629" i="1"/>
  <c r="N629" i="1"/>
  <c r="O629" i="1"/>
  <c r="P629" i="1"/>
  <c r="Q629" i="1"/>
  <c r="R629" i="1"/>
  <c r="S629" i="1"/>
  <c r="T629" i="1"/>
  <c r="U629" i="1"/>
  <c r="A567" i="1"/>
  <c r="B567" i="1"/>
  <c r="C567" i="1"/>
  <c r="D567" i="1"/>
  <c r="E567" i="1"/>
  <c r="F567" i="1"/>
  <c r="G567" i="1"/>
  <c r="H567" i="1"/>
  <c r="I567" i="1"/>
  <c r="J567" i="1"/>
  <c r="K567" i="1"/>
  <c r="L567" i="1"/>
  <c r="M567" i="1"/>
  <c r="N567" i="1"/>
  <c r="O567" i="1"/>
  <c r="P567" i="1"/>
  <c r="Q567" i="1"/>
  <c r="R567" i="1"/>
  <c r="S567" i="1"/>
  <c r="T567" i="1"/>
  <c r="U567" i="1"/>
  <c r="A566" i="1"/>
  <c r="B566" i="1"/>
  <c r="C566" i="1"/>
  <c r="D566" i="1"/>
  <c r="E566" i="1"/>
  <c r="F566" i="1"/>
  <c r="G566" i="1"/>
  <c r="H566" i="1"/>
  <c r="I566" i="1"/>
  <c r="J566" i="1"/>
  <c r="K566" i="1"/>
  <c r="M566" i="1"/>
  <c r="N566" i="1"/>
  <c r="O566" i="1"/>
  <c r="P566" i="1"/>
  <c r="Q566" i="1"/>
  <c r="R566" i="1"/>
  <c r="S566" i="1"/>
  <c r="T566" i="1"/>
  <c r="U566" i="1"/>
  <c r="A162" i="1"/>
  <c r="B162" i="1"/>
  <c r="C162" i="1"/>
  <c r="D162" i="1"/>
  <c r="E162" i="1"/>
  <c r="F162" i="1"/>
  <c r="G162" i="1"/>
  <c r="H162" i="1"/>
  <c r="I162" i="1"/>
  <c r="J162" i="1"/>
  <c r="K162" i="1"/>
  <c r="M162" i="1"/>
  <c r="N162" i="1"/>
  <c r="O162" i="1"/>
  <c r="P162" i="1"/>
  <c r="Q162" i="1"/>
  <c r="R162" i="1"/>
  <c r="S162" i="1"/>
  <c r="T162" i="1"/>
  <c r="U162" i="1"/>
  <c r="A504" i="1"/>
  <c r="B504" i="1"/>
  <c r="C504" i="1"/>
  <c r="D504" i="1"/>
  <c r="E504" i="1"/>
  <c r="F504" i="1"/>
  <c r="G504" i="1"/>
  <c r="H504" i="1"/>
  <c r="I504" i="1"/>
  <c r="J504" i="1"/>
  <c r="K504" i="1"/>
  <c r="L504" i="1"/>
  <c r="M504" i="1"/>
  <c r="N504" i="1"/>
  <c r="O504" i="1"/>
  <c r="P504" i="1"/>
  <c r="Q504" i="1"/>
  <c r="R504" i="1"/>
  <c r="S504" i="1"/>
  <c r="T504" i="1"/>
  <c r="U504" i="1"/>
  <c r="A304" i="1"/>
  <c r="B304" i="1"/>
  <c r="C304" i="1"/>
  <c r="D304" i="1"/>
  <c r="E304" i="1"/>
  <c r="F304" i="1"/>
  <c r="G304" i="1"/>
  <c r="H304" i="1"/>
  <c r="I304" i="1"/>
  <c r="J304" i="1"/>
  <c r="K304" i="1"/>
  <c r="L304" i="1"/>
  <c r="M304" i="1"/>
  <c r="N304" i="1"/>
  <c r="O304" i="1"/>
  <c r="P304" i="1"/>
  <c r="Q304" i="1"/>
  <c r="R304" i="1"/>
  <c r="S304" i="1"/>
  <c r="T304" i="1"/>
  <c r="U304" i="1"/>
  <c r="A241" i="1"/>
  <c r="B241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O241" i="1"/>
  <c r="Q241" i="1"/>
  <c r="R241" i="1"/>
  <c r="S241" i="1"/>
  <c r="T241" i="1"/>
  <c r="U241" i="1"/>
  <c r="A239" i="1"/>
  <c r="B239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O239" i="1"/>
  <c r="Q239" i="1"/>
  <c r="R239" i="1"/>
  <c r="S239" i="1"/>
  <c r="T239" i="1"/>
  <c r="U239" i="1"/>
  <c r="A240" i="1"/>
  <c r="B240" i="1"/>
  <c r="C240" i="1"/>
  <c r="D240" i="1"/>
  <c r="E240" i="1"/>
  <c r="F240" i="1"/>
  <c r="G240" i="1"/>
  <c r="H240" i="1"/>
  <c r="I240" i="1"/>
  <c r="J240" i="1"/>
  <c r="K240" i="1"/>
  <c r="L240" i="1"/>
  <c r="M240" i="1"/>
  <c r="N240" i="1"/>
  <c r="O240" i="1"/>
  <c r="Q240" i="1"/>
  <c r="R240" i="1"/>
  <c r="S240" i="1"/>
  <c r="T240" i="1"/>
  <c r="U240" i="1"/>
  <c r="A1493" i="1"/>
  <c r="B1493" i="1"/>
  <c r="C1493" i="1"/>
  <c r="D1493" i="1"/>
  <c r="E1493" i="1"/>
  <c r="F1493" i="1"/>
  <c r="G1493" i="1"/>
  <c r="H1493" i="1"/>
  <c r="I1493" i="1"/>
  <c r="J1493" i="1"/>
  <c r="K1493" i="1"/>
  <c r="L1493" i="1"/>
  <c r="M1493" i="1"/>
  <c r="N1493" i="1"/>
  <c r="O1493" i="1"/>
  <c r="Q1493" i="1"/>
  <c r="R1493" i="1"/>
  <c r="S1493" i="1"/>
  <c r="U1493" i="1"/>
  <c r="A160" i="1"/>
  <c r="B160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O160" i="1"/>
  <c r="Q160" i="1"/>
  <c r="R160" i="1"/>
  <c r="S160" i="1"/>
  <c r="T160" i="1"/>
  <c r="U160" i="1"/>
  <c r="A161" i="1"/>
  <c r="B161" i="1"/>
  <c r="C161" i="1"/>
  <c r="D161" i="1"/>
  <c r="E161" i="1"/>
  <c r="F161" i="1"/>
  <c r="G161" i="1"/>
  <c r="H161" i="1"/>
  <c r="I161" i="1"/>
  <c r="J161" i="1"/>
  <c r="K161" i="1"/>
  <c r="L161" i="1"/>
  <c r="M161" i="1"/>
  <c r="N161" i="1"/>
  <c r="O161" i="1"/>
  <c r="Q161" i="1"/>
  <c r="R161" i="1"/>
  <c r="S161" i="1"/>
  <c r="T161" i="1"/>
  <c r="U161" i="1"/>
  <c r="A106" i="1"/>
  <c r="B106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A107" i="1"/>
  <c r="B107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A108" i="1"/>
  <c r="B108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O108" i="1"/>
  <c r="P108" i="1"/>
  <c r="Q108" i="1"/>
  <c r="R108" i="1"/>
  <c r="S108" i="1"/>
  <c r="T108" i="1"/>
  <c r="U108" i="1"/>
  <c r="A1842" i="1"/>
  <c r="B1842" i="1"/>
  <c r="C1842" i="1"/>
  <c r="D1842" i="1"/>
  <c r="E1842" i="1"/>
  <c r="F1842" i="1"/>
  <c r="G1842" i="1"/>
  <c r="H1842" i="1"/>
  <c r="I1842" i="1"/>
  <c r="J1842" i="1"/>
  <c r="M1842" i="1"/>
  <c r="N1842" i="1"/>
  <c r="O1842" i="1"/>
  <c r="P1842" i="1"/>
  <c r="Q1842" i="1"/>
  <c r="R1842" i="1"/>
  <c r="S1842" i="1"/>
  <c r="T1842" i="1"/>
  <c r="U1842" i="1"/>
  <c r="A1843" i="1"/>
  <c r="B1843" i="1"/>
  <c r="C1843" i="1"/>
  <c r="D1843" i="1"/>
  <c r="E1843" i="1"/>
  <c r="F1843" i="1"/>
  <c r="G1843" i="1"/>
  <c r="H1843" i="1"/>
  <c r="I1843" i="1"/>
  <c r="J1843" i="1"/>
  <c r="M1843" i="1"/>
  <c r="N1843" i="1"/>
  <c r="O1843" i="1"/>
  <c r="P1843" i="1"/>
  <c r="Q1843" i="1"/>
  <c r="R1843" i="1"/>
  <c r="S1843" i="1"/>
  <c r="T1843" i="1"/>
  <c r="U1843" i="1"/>
  <c r="A1845" i="1"/>
  <c r="B1845" i="1"/>
  <c r="C1845" i="1"/>
  <c r="D1845" i="1"/>
  <c r="E1845" i="1"/>
  <c r="F1845" i="1"/>
  <c r="G1845" i="1"/>
  <c r="H1845" i="1"/>
  <c r="I1845" i="1"/>
  <c r="J1845" i="1"/>
  <c r="M1845" i="1"/>
  <c r="N1845" i="1"/>
  <c r="O1845" i="1"/>
  <c r="P1845" i="1"/>
  <c r="Q1845" i="1"/>
  <c r="R1845" i="1"/>
  <c r="S1845" i="1"/>
  <c r="T1845" i="1"/>
  <c r="U1845" i="1"/>
  <c r="A1844" i="1"/>
  <c r="B1844" i="1"/>
  <c r="C1844" i="1"/>
  <c r="D1844" i="1"/>
  <c r="E1844" i="1"/>
  <c r="F1844" i="1"/>
  <c r="G1844" i="1"/>
  <c r="H1844" i="1"/>
  <c r="I1844" i="1"/>
  <c r="J1844" i="1"/>
  <c r="M1844" i="1"/>
  <c r="N1844" i="1"/>
  <c r="O1844" i="1"/>
  <c r="P1844" i="1"/>
  <c r="Q1844" i="1"/>
  <c r="R1844" i="1"/>
  <c r="S1844" i="1"/>
  <c r="T1844" i="1"/>
  <c r="U1844" i="1"/>
  <c r="A1773" i="1"/>
  <c r="B1773" i="1"/>
  <c r="C1773" i="1"/>
  <c r="D1773" i="1"/>
  <c r="E1773" i="1"/>
  <c r="F1773" i="1"/>
  <c r="G1773" i="1"/>
  <c r="H1773" i="1"/>
  <c r="I1773" i="1"/>
  <c r="J1773" i="1"/>
  <c r="M1773" i="1"/>
  <c r="N1773" i="1"/>
  <c r="O1773" i="1"/>
  <c r="P1773" i="1"/>
  <c r="Q1773" i="1"/>
  <c r="R1773" i="1"/>
  <c r="S1773" i="1"/>
  <c r="T1773" i="1"/>
  <c r="U1773" i="1"/>
  <c r="A1774" i="1"/>
  <c r="B1774" i="1"/>
  <c r="C1774" i="1"/>
  <c r="D1774" i="1"/>
  <c r="E1774" i="1"/>
  <c r="F1774" i="1"/>
  <c r="G1774" i="1"/>
  <c r="H1774" i="1"/>
  <c r="I1774" i="1"/>
  <c r="J1774" i="1"/>
  <c r="M1774" i="1"/>
  <c r="N1774" i="1"/>
  <c r="O1774" i="1"/>
  <c r="P1774" i="1"/>
  <c r="Q1774" i="1"/>
  <c r="R1774" i="1"/>
  <c r="S1774" i="1"/>
  <c r="T1774" i="1"/>
  <c r="U1774" i="1"/>
  <c r="A1775" i="1"/>
  <c r="B1775" i="1"/>
  <c r="C1775" i="1"/>
  <c r="D1775" i="1"/>
  <c r="E1775" i="1"/>
  <c r="F1775" i="1"/>
  <c r="G1775" i="1"/>
  <c r="H1775" i="1"/>
  <c r="I1775" i="1"/>
  <c r="J1775" i="1"/>
  <c r="M1775" i="1"/>
  <c r="N1775" i="1"/>
  <c r="O1775" i="1"/>
  <c r="P1775" i="1"/>
  <c r="Q1775" i="1"/>
  <c r="R1775" i="1"/>
  <c r="S1775" i="1"/>
  <c r="T1775" i="1"/>
  <c r="U1775" i="1"/>
  <c r="A1776" i="1"/>
  <c r="B1776" i="1"/>
  <c r="C1776" i="1"/>
  <c r="D1776" i="1"/>
  <c r="E1776" i="1"/>
  <c r="F1776" i="1"/>
  <c r="G1776" i="1"/>
  <c r="H1776" i="1"/>
  <c r="I1776" i="1"/>
  <c r="J1776" i="1"/>
  <c r="M1776" i="1"/>
  <c r="N1776" i="1"/>
  <c r="O1776" i="1"/>
  <c r="P1776" i="1"/>
  <c r="Q1776" i="1"/>
  <c r="R1776" i="1"/>
  <c r="S1776" i="1"/>
  <c r="T1776" i="1"/>
  <c r="U1776" i="1"/>
  <c r="A1715" i="1"/>
  <c r="B1715" i="1"/>
  <c r="C1715" i="1"/>
  <c r="D1715" i="1"/>
  <c r="E1715" i="1"/>
  <c r="F1715" i="1"/>
  <c r="G1715" i="1"/>
  <c r="H1715" i="1"/>
  <c r="I1715" i="1"/>
  <c r="J1715" i="1"/>
  <c r="M1715" i="1"/>
  <c r="N1715" i="1"/>
  <c r="O1715" i="1"/>
  <c r="P1715" i="1"/>
  <c r="Q1715" i="1"/>
  <c r="R1715" i="1"/>
  <c r="S1715" i="1"/>
  <c r="T1715" i="1"/>
  <c r="U1715" i="1"/>
  <c r="A1451" i="1"/>
  <c r="B1451" i="1"/>
  <c r="C1451" i="1"/>
  <c r="D1451" i="1"/>
  <c r="E1451" i="1"/>
  <c r="F1451" i="1"/>
  <c r="G1451" i="1"/>
  <c r="H1451" i="1"/>
  <c r="I1451" i="1"/>
  <c r="J1451" i="1"/>
  <c r="M1451" i="1"/>
  <c r="N1451" i="1"/>
  <c r="O1451" i="1"/>
  <c r="P1451" i="1"/>
  <c r="Q1451" i="1"/>
  <c r="R1451" i="1"/>
  <c r="S1451" i="1"/>
  <c r="U1451" i="1"/>
  <c r="A1450" i="1"/>
  <c r="B1450" i="1"/>
  <c r="C1450" i="1"/>
  <c r="D1450" i="1"/>
  <c r="E1450" i="1"/>
  <c r="F1450" i="1"/>
  <c r="G1450" i="1"/>
  <c r="H1450" i="1"/>
  <c r="I1450" i="1"/>
  <c r="J1450" i="1"/>
  <c r="M1450" i="1"/>
  <c r="N1450" i="1"/>
  <c r="O1450" i="1"/>
  <c r="Q1450" i="1"/>
  <c r="R1450" i="1"/>
  <c r="S1450" i="1"/>
  <c r="T1450" i="1"/>
  <c r="U1450" i="1"/>
  <c r="A1376" i="1"/>
  <c r="B1376" i="1"/>
  <c r="C1376" i="1"/>
  <c r="D1376" i="1"/>
  <c r="E1376" i="1"/>
  <c r="F1376" i="1"/>
  <c r="G1376" i="1"/>
  <c r="H1376" i="1"/>
  <c r="I1376" i="1"/>
  <c r="J1376" i="1"/>
  <c r="M1376" i="1"/>
  <c r="N1376" i="1"/>
  <c r="O1376" i="1"/>
  <c r="P1376" i="1"/>
  <c r="Q1376" i="1"/>
  <c r="R1376" i="1"/>
  <c r="S1376" i="1"/>
  <c r="T1376" i="1"/>
  <c r="U1376" i="1"/>
  <c r="A1377" i="1"/>
  <c r="B1377" i="1"/>
  <c r="C1377" i="1"/>
  <c r="D1377" i="1"/>
  <c r="E1377" i="1"/>
  <c r="F1377" i="1"/>
  <c r="G1377" i="1"/>
  <c r="H1377" i="1"/>
  <c r="I1377" i="1"/>
  <c r="J1377" i="1"/>
  <c r="M1377" i="1"/>
  <c r="N1377" i="1"/>
  <c r="O1377" i="1"/>
  <c r="P1377" i="1"/>
  <c r="Q1377" i="1"/>
  <c r="R1377" i="1"/>
  <c r="S1377" i="1"/>
  <c r="T1377" i="1"/>
  <c r="U1377" i="1"/>
  <c r="A1378" i="1"/>
  <c r="B1378" i="1"/>
  <c r="C1378" i="1"/>
  <c r="D1378" i="1"/>
  <c r="E1378" i="1"/>
  <c r="F1378" i="1"/>
  <c r="G1378" i="1"/>
  <c r="H1378" i="1"/>
  <c r="I1378" i="1"/>
  <c r="J1378" i="1"/>
  <c r="M1378" i="1"/>
  <c r="N1378" i="1"/>
  <c r="O1378" i="1"/>
  <c r="P1378" i="1"/>
  <c r="Q1378" i="1"/>
  <c r="R1378" i="1"/>
  <c r="S1378" i="1"/>
  <c r="T1378" i="1"/>
  <c r="U1378" i="1"/>
  <c r="A1379" i="1"/>
  <c r="B1379" i="1"/>
  <c r="C1379" i="1"/>
  <c r="D1379" i="1"/>
  <c r="E1379" i="1"/>
  <c r="F1379" i="1"/>
  <c r="G1379" i="1"/>
  <c r="H1379" i="1"/>
  <c r="I1379" i="1"/>
  <c r="J1379" i="1"/>
  <c r="M1379" i="1"/>
  <c r="N1379" i="1"/>
  <c r="O1379" i="1"/>
  <c r="P1379" i="1"/>
  <c r="Q1379" i="1"/>
  <c r="R1379" i="1"/>
  <c r="S1379" i="1"/>
  <c r="T1379" i="1"/>
  <c r="U1379" i="1"/>
  <c r="A1380" i="1"/>
  <c r="B1380" i="1"/>
  <c r="C1380" i="1"/>
  <c r="D1380" i="1"/>
  <c r="E1380" i="1"/>
  <c r="F1380" i="1"/>
  <c r="G1380" i="1"/>
  <c r="H1380" i="1"/>
  <c r="I1380" i="1"/>
  <c r="J1380" i="1"/>
  <c r="M1380" i="1"/>
  <c r="N1380" i="1"/>
  <c r="O1380" i="1"/>
  <c r="P1380" i="1"/>
  <c r="Q1380" i="1"/>
  <c r="R1380" i="1"/>
  <c r="S1380" i="1"/>
  <c r="T1380" i="1"/>
  <c r="U1380" i="1"/>
  <c r="A1381" i="1"/>
  <c r="B1381" i="1"/>
  <c r="C1381" i="1"/>
  <c r="D1381" i="1"/>
  <c r="E1381" i="1"/>
  <c r="F1381" i="1"/>
  <c r="G1381" i="1"/>
  <c r="H1381" i="1"/>
  <c r="I1381" i="1"/>
  <c r="J1381" i="1"/>
  <c r="M1381" i="1"/>
  <c r="N1381" i="1"/>
  <c r="O1381" i="1"/>
  <c r="P1381" i="1"/>
  <c r="Q1381" i="1"/>
  <c r="R1381" i="1"/>
  <c r="S1381" i="1"/>
  <c r="T1381" i="1"/>
  <c r="U1381" i="1"/>
  <c r="A1382" i="1"/>
  <c r="B1382" i="1"/>
  <c r="C1382" i="1"/>
  <c r="D1382" i="1"/>
  <c r="E1382" i="1"/>
  <c r="F1382" i="1"/>
  <c r="G1382" i="1"/>
  <c r="H1382" i="1"/>
  <c r="I1382" i="1"/>
  <c r="J1382" i="1"/>
  <c r="M1382" i="1"/>
  <c r="N1382" i="1"/>
  <c r="O1382" i="1"/>
  <c r="P1382" i="1"/>
  <c r="Q1382" i="1"/>
  <c r="R1382" i="1"/>
  <c r="S1382" i="1"/>
  <c r="T1382" i="1"/>
  <c r="U1382" i="1"/>
  <c r="A1383" i="1"/>
  <c r="B1383" i="1"/>
  <c r="C1383" i="1"/>
  <c r="D1383" i="1"/>
  <c r="E1383" i="1"/>
  <c r="F1383" i="1"/>
  <c r="G1383" i="1"/>
  <c r="H1383" i="1"/>
  <c r="I1383" i="1"/>
  <c r="J1383" i="1"/>
  <c r="M1383" i="1"/>
  <c r="N1383" i="1"/>
  <c r="O1383" i="1"/>
  <c r="P1383" i="1"/>
  <c r="Q1383" i="1"/>
  <c r="R1383" i="1"/>
  <c r="S1383" i="1"/>
  <c r="T1383" i="1"/>
  <c r="U1383" i="1"/>
  <c r="A1384" i="1"/>
  <c r="B1384" i="1"/>
  <c r="C1384" i="1"/>
  <c r="D1384" i="1"/>
  <c r="E1384" i="1"/>
  <c r="F1384" i="1"/>
  <c r="G1384" i="1"/>
  <c r="H1384" i="1"/>
  <c r="I1384" i="1"/>
  <c r="J1384" i="1"/>
  <c r="M1384" i="1"/>
  <c r="N1384" i="1"/>
  <c r="O1384" i="1"/>
  <c r="P1384" i="1"/>
  <c r="Q1384" i="1"/>
  <c r="R1384" i="1"/>
  <c r="S1384" i="1"/>
  <c r="T1384" i="1"/>
  <c r="U1384" i="1"/>
  <c r="A1310" i="1"/>
  <c r="B1310" i="1"/>
  <c r="C1310" i="1"/>
  <c r="D1310" i="1"/>
  <c r="E1310" i="1"/>
  <c r="F1310" i="1"/>
  <c r="G1310" i="1"/>
  <c r="H1310" i="1"/>
  <c r="I1310" i="1"/>
  <c r="J1310" i="1"/>
  <c r="M1310" i="1"/>
  <c r="N1310" i="1"/>
  <c r="O1310" i="1"/>
  <c r="Q1310" i="1"/>
  <c r="R1310" i="1"/>
  <c r="S1310" i="1"/>
  <c r="T1310" i="1"/>
  <c r="U1310" i="1"/>
  <c r="A1311" i="1"/>
  <c r="B1311" i="1"/>
  <c r="C1311" i="1"/>
  <c r="D1311" i="1"/>
  <c r="E1311" i="1"/>
  <c r="F1311" i="1"/>
  <c r="G1311" i="1"/>
  <c r="H1311" i="1"/>
  <c r="I1311" i="1"/>
  <c r="J1311" i="1"/>
  <c r="M1311" i="1"/>
  <c r="N1311" i="1"/>
  <c r="O1311" i="1"/>
  <c r="P1311" i="1"/>
  <c r="Q1311" i="1"/>
  <c r="R1311" i="1"/>
  <c r="S1311" i="1"/>
  <c r="T1311" i="1"/>
  <c r="U1311" i="1"/>
  <c r="A1312" i="1"/>
  <c r="B1312" i="1"/>
  <c r="C1312" i="1"/>
  <c r="D1312" i="1"/>
  <c r="E1312" i="1"/>
  <c r="F1312" i="1"/>
  <c r="G1312" i="1"/>
  <c r="H1312" i="1"/>
  <c r="I1312" i="1"/>
  <c r="J1312" i="1"/>
  <c r="M1312" i="1"/>
  <c r="N1312" i="1"/>
  <c r="O1312" i="1"/>
  <c r="P1312" i="1"/>
  <c r="Q1312" i="1"/>
  <c r="R1312" i="1"/>
  <c r="S1312" i="1"/>
  <c r="T1312" i="1"/>
  <c r="U1312" i="1"/>
  <c r="A1309" i="1"/>
  <c r="B1309" i="1"/>
  <c r="C1309" i="1"/>
  <c r="D1309" i="1"/>
  <c r="E1309" i="1"/>
  <c r="F1309" i="1"/>
  <c r="G1309" i="1"/>
  <c r="H1309" i="1"/>
  <c r="I1309" i="1"/>
  <c r="J1309" i="1"/>
  <c r="M1309" i="1"/>
  <c r="N1309" i="1"/>
  <c r="O1309" i="1"/>
  <c r="Q1309" i="1"/>
  <c r="R1309" i="1"/>
  <c r="S1309" i="1"/>
  <c r="T1309" i="1"/>
  <c r="U1309" i="1"/>
  <c r="A1229" i="1"/>
  <c r="B1229" i="1"/>
  <c r="C1229" i="1"/>
  <c r="D1229" i="1"/>
  <c r="E1229" i="1"/>
  <c r="F1229" i="1"/>
  <c r="G1229" i="1"/>
  <c r="H1229" i="1"/>
  <c r="I1229" i="1"/>
  <c r="J1229" i="1"/>
  <c r="M1229" i="1"/>
  <c r="N1229" i="1"/>
  <c r="O1229" i="1"/>
  <c r="P1229" i="1"/>
  <c r="Q1229" i="1"/>
  <c r="R1229" i="1"/>
  <c r="S1229" i="1"/>
  <c r="T1229" i="1"/>
  <c r="U1229" i="1"/>
  <c r="A1230" i="1"/>
  <c r="B1230" i="1"/>
  <c r="C1230" i="1"/>
  <c r="D1230" i="1"/>
  <c r="E1230" i="1"/>
  <c r="F1230" i="1"/>
  <c r="G1230" i="1"/>
  <c r="H1230" i="1"/>
  <c r="I1230" i="1"/>
  <c r="J1230" i="1"/>
  <c r="M1230" i="1"/>
  <c r="N1230" i="1"/>
  <c r="O1230" i="1"/>
  <c r="P1230" i="1"/>
  <c r="Q1230" i="1"/>
  <c r="R1230" i="1"/>
  <c r="S1230" i="1"/>
  <c r="T1230" i="1"/>
  <c r="U1230" i="1"/>
  <c r="A1231" i="1"/>
  <c r="B1231" i="1"/>
  <c r="C1231" i="1"/>
  <c r="D1231" i="1"/>
  <c r="E1231" i="1"/>
  <c r="F1231" i="1"/>
  <c r="G1231" i="1"/>
  <c r="H1231" i="1"/>
  <c r="I1231" i="1"/>
  <c r="J1231" i="1"/>
  <c r="M1231" i="1"/>
  <c r="N1231" i="1"/>
  <c r="O1231" i="1"/>
  <c r="P1231" i="1"/>
  <c r="Q1231" i="1"/>
  <c r="R1231" i="1"/>
  <c r="S1231" i="1"/>
  <c r="T1231" i="1"/>
  <c r="U1231" i="1"/>
  <c r="A1232" i="1"/>
  <c r="B1232" i="1"/>
  <c r="C1232" i="1"/>
  <c r="D1232" i="1"/>
  <c r="E1232" i="1"/>
  <c r="F1232" i="1"/>
  <c r="G1232" i="1"/>
  <c r="H1232" i="1"/>
  <c r="I1232" i="1"/>
  <c r="J1232" i="1"/>
  <c r="M1232" i="1"/>
  <c r="N1232" i="1"/>
  <c r="O1232" i="1"/>
  <c r="P1232" i="1"/>
  <c r="Q1232" i="1"/>
  <c r="R1232" i="1"/>
  <c r="S1232" i="1"/>
  <c r="T1232" i="1"/>
  <c r="U1232" i="1"/>
  <c r="A1233" i="1"/>
  <c r="B1233" i="1"/>
  <c r="C1233" i="1"/>
  <c r="D1233" i="1"/>
  <c r="E1233" i="1"/>
  <c r="F1233" i="1"/>
  <c r="G1233" i="1"/>
  <c r="H1233" i="1"/>
  <c r="I1233" i="1"/>
  <c r="J1233" i="1"/>
  <c r="M1233" i="1"/>
  <c r="N1233" i="1"/>
  <c r="O1233" i="1"/>
  <c r="P1233" i="1"/>
  <c r="Q1233" i="1"/>
  <c r="R1233" i="1"/>
  <c r="S1233" i="1"/>
  <c r="U1233" i="1"/>
  <c r="A1234" i="1"/>
  <c r="B1234" i="1"/>
  <c r="C1234" i="1"/>
  <c r="D1234" i="1"/>
  <c r="E1234" i="1"/>
  <c r="F1234" i="1"/>
  <c r="G1234" i="1"/>
  <c r="H1234" i="1"/>
  <c r="I1234" i="1"/>
  <c r="J1234" i="1"/>
  <c r="M1234" i="1"/>
  <c r="N1234" i="1"/>
  <c r="O1234" i="1"/>
  <c r="P1234" i="1"/>
  <c r="Q1234" i="1"/>
  <c r="R1234" i="1"/>
  <c r="S1234" i="1"/>
  <c r="T1234" i="1"/>
  <c r="U1234" i="1"/>
  <c r="A1237" i="1"/>
  <c r="B1237" i="1"/>
  <c r="C1237" i="1"/>
  <c r="D1237" i="1"/>
  <c r="E1237" i="1"/>
  <c r="F1237" i="1"/>
  <c r="G1237" i="1"/>
  <c r="H1237" i="1"/>
  <c r="I1237" i="1"/>
  <c r="J1237" i="1"/>
  <c r="M1237" i="1"/>
  <c r="N1237" i="1"/>
  <c r="O1237" i="1"/>
  <c r="P1237" i="1"/>
  <c r="Q1237" i="1"/>
  <c r="R1237" i="1"/>
  <c r="S1237" i="1"/>
  <c r="T1237" i="1"/>
  <c r="U1237" i="1"/>
  <c r="A1235" i="1"/>
  <c r="B1235" i="1"/>
  <c r="C1235" i="1"/>
  <c r="D1235" i="1"/>
  <c r="E1235" i="1"/>
  <c r="F1235" i="1"/>
  <c r="G1235" i="1"/>
  <c r="H1235" i="1"/>
  <c r="I1235" i="1"/>
  <c r="J1235" i="1"/>
  <c r="M1235" i="1"/>
  <c r="N1235" i="1"/>
  <c r="O1235" i="1"/>
  <c r="P1235" i="1"/>
  <c r="Q1235" i="1"/>
  <c r="R1235" i="1"/>
  <c r="S1235" i="1"/>
  <c r="T1235" i="1"/>
  <c r="U1235" i="1"/>
  <c r="A1236" i="1"/>
  <c r="B1236" i="1"/>
  <c r="C1236" i="1"/>
  <c r="D1236" i="1"/>
  <c r="E1236" i="1"/>
  <c r="F1236" i="1"/>
  <c r="G1236" i="1"/>
  <c r="H1236" i="1"/>
  <c r="I1236" i="1"/>
  <c r="J1236" i="1"/>
  <c r="M1236" i="1"/>
  <c r="N1236" i="1"/>
  <c r="O1236" i="1"/>
  <c r="P1236" i="1"/>
  <c r="Q1236" i="1"/>
  <c r="R1236" i="1"/>
  <c r="S1236" i="1"/>
  <c r="T1236" i="1"/>
  <c r="U1236" i="1"/>
  <c r="A1173" i="1"/>
  <c r="B1173" i="1"/>
  <c r="C1173" i="1"/>
  <c r="D1173" i="1"/>
  <c r="E1173" i="1"/>
  <c r="F1173" i="1"/>
  <c r="G1173" i="1"/>
  <c r="H1173" i="1"/>
  <c r="I1173" i="1"/>
  <c r="J1173" i="1"/>
  <c r="M1173" i="1"/>
  <c r="N1173" i="1"/>
  <c r="O1173" i="1"/>
  <c r="P1173" i="1"/>
  <c r="Q1173" i="1"/>
  <c r="R1173" i="1"/>
  <c r="S1173" i="1"/>
  <c r="T1173" i="1"/>
  <c r="U1173" i="1"/>
  <c r="A1174" i="1"/>
  <c r="B1174" i="1"/>
  <c r="C1174" i="1"/>
  <c r="D1174" i="1"/>
  <c r="E1174" i="1"/>
  <c r="F1174" i="1"/>
  <c r="G1174" i="1"/>
  <c r="H1174" i="1"/>
  <c r="I1174" i="1"/>
  <c r="J1174" i="1"/>
  <c r="M1174" i="1"/>
  <c r="N1174" i="1"/>
  <c r="O1174" i="1"/>
  <c r="P1174" i="1"/>
  <c r="Q1174" i="1"/>
  <c r="R1174" i="1"/>
  <c r="S1174" i="1"/>
  <c r="T1174" i="1"/>
  <c r="U1174" i="1"/>
  <c r="A1175" i="1"/>
  <c r="B1175" i="1"/>
  <c r="C1175" i="1"/>
  <c r="D1175" i="1"/>
  <c r="E1175" i="1"/>
  <c r="F1175" i="1"/>
  <c r="G1175" i="1"/>
  <c r="H1175" i="1"/>
  <c r="I1175" i="1"/>
  <c r="J1175" i="1"/>
  <c r="M1175" i="1"/>
  <c r="N1175" i="1"/>
  <c r="O1175" i="1"/>
  <c r="P1175" i="1"/>
  <c r="Q1175" i="1"/>
  <c r="R1175" i="1"/>
  <c r="S1175" i="1"/>
  <c r="T1175" i="1"/>
  <c r="U1175" i="1"/>
  <c r="A1176" i="1"/>
  <c r="B1176" i="1"/>
  <c r="C1176" i="1"/>
  <c r="D1176" i="1"/>
  <c r="E1176" i="1"/>
  <c r="F1176" i="1"/>
  <c r="G1176" i="1"/>
  <c r="H1176" i="1"/>
  <c r="I1176" i="1"/>
  <c r="J1176" i="1"/>
  <c r="M1176" i="1"/>
  <c r="N1176" i="1"/>
  <c r="O1176" i="1"/>
  <c r="P1176" i="1"/>
  <c r="Q1176" i="1"/>
  <c r="R1176" i="1"/>
  <c r="S1176" i="1"/>
  <c r="T1176" i="1"/>
  <c r="U1176" i="1"/>
  <c r="A1172" i="1"/>
  <c r="B1172" i="1"/>
  <c r="C1172" i="1"/>
  <c r="D1172" i="1"/>
  <c r="E1172" i="1"/>
  <c r="F1172" i="1"/>
  <c r="G1172" i="1"/>
  <c r="H1172" i="1"/>
  <c r="I1172" i="1"/>
  <c r="J1172" i="1"/>
  <c r="M1172" i="1"/>
  <c r="N1172" i="1"/>
  <c r="O1172" i="1"/>
  <c r="Q1172" i="1"/>
  <c r="R1172" i="1"/>
  <c r="S1172" i="1"/>
  <c r="T1172" i="1"/>
  <c r="U1172" i="1"/>
  <c r="A1177" i="1"/>
  <c r="B1177" i="1"/>
  <c r="C1177" i="1"/>
  <c r="D1177" i="1"/>
  <c r="E1177" i="1"/>
  <c r="F1177" i="1"/>
  <c r="G1177" i="1"/>
  <c r="H1177" i="1"/>
  <c r="I1177" i="1"/>
  <c r="J1177" i="1"/>
  <c r="M1177" i="1"/>
  <c r="N1177" i="1"/>
  <c r="O1177" i="1"/>
  <c r="P1177" i="1"/>
  <c r="Q1177" i="1"/>
  <c r="R1177" i="1"/>
  <c r="S1177" i="1"/>
  <c r="T1177" i="1"/>
  <c r="U1177" i="1"/>
  <c r="A1178" i="1"/>
  <c r="B1178" i="1"/>
  <c r="C1178" i="1"/>
  <c r="D1178" i="1"/>
  <c r="E1178" i="1"/>
  <c r="F1178" i="1"/>
  <c r="G1178" i="1"/>
  <c r="H1178" i="1"/>
  <c r="I1178" i="1"/>
  <c r="J1178" i="1"/>
  <c r="M1178" i="1"/>
  <c r="N1178" i="1"/>
  <c r="O1178" i="1"/>
  <c r="P1178" i="1"/>
  <c r="Q1178" i="1"/>
  <c r="R1178" i="1"/>
  <c r="S1178" i="1"/>
  <c r="U1178" i="1"/>
  <c r="A996" i="1"/>
  <c r="B996" i="1"/>
  <c r="C996" i="1"/>
  <c r="D996" i="1"/>
  <c r="E996" i="1"/>
  <c r="F996" i="1"/>
  <c r="G996" i="1"/>
  <c r="H996" i="1"/>
  <c r="I996" i="1"/>
  <c r="J996" i="1"/>
  <c r="M996" i="1"/>
  <c r="N996" i="1"/>
  <c r="O996" i="1"/>
  <c r="P996" i="1"/>
  <c r="Q996" i="1"/>
  <c r="R996" i="1"/>
  <c r="S996" i="1"/>
  <c r="T996" i="1"/>
  <c r="U996" i="1"/>
  <c r="A997" i="1"/>
  <c r="B997" i="1"/>
  <c r="C997" i="1"/>
  <c r="D997" i="1"/>
  <c r="E997" i="1"/>
  <c r="F997" i="1"/>
  <c r="G997" i="1"/>
  <c r="H997" i="1"/>
  <c r="I997" i="1"/>
  <c r="J997" i="1"/>
  <c r="M997" i="1"/>
  <c r="N997" i="1"/>
  <c r="O997" i="1"/>
  <c r="P997" i="1"/>
  <c r="Q997" i="1"/>
  <c r="R997" i="1"/>
  <c r="S997" i="1"/>
  <c r="T997" i="1"/>
  <c r="U997" i="1"/>
  <c r="A917" i="1"/>
  <c r="B917" i="1"/>
  <c r="C917" i="1"/>
  <c r="D917" i="1"/>
  <c r="E917" i="1"/>
  <c r="F917" i="1"/>
  <c r="G917" i="1"/>
  <c r="H917" i="1"/>
  <c r="I917" i="1"/>
  <c r="J917" i="1"/>
  <c r="M917" i="1"/>
  <c r="N917" i="1"/>
  <c r="O917" i="1"/>
  <c r="P917" i="1"/>
  <c r="Q917" i="1"/>
  <c r="R917" i="1"/>
  <c r="S917" i="1"/>
  <c r="T917" i="1"/>
  <c r="U917" i="1"/>
  <c r="A850" i="1"/>
  <c r="B850" i="1"/>
  <c r="C850" i="1"/>
  <c r="D850" i="1"/>
  <c r="E850" i="1"/>
  <c r="F850" i="1"/>
  <c r="G850" i="1"/>
  <c r="H850" i="1"/>
  <c r="I850" i="1"/>
  <c r="J850" i="1"/>
  <c r="M850" i="1"/>
  <c r="N850" i="1"/>
  <c r="O850" i="1"/>
  <c r="P850" i="1"/>
  <c r="Q850" i="1"/>
  <c r="R850" i="1"/>
  <c r="S850" i="1"/>
  <c r="T850" i="1"/>
  <c r="U850" i="1"/>
  <c r="A851" i="1"/>
  <c r="B851" i="1"/>
  <c r="C851" i="1"/>
  <c r="D851" i="1"/>
  <c r="E851" i="1"/>
  <c r="F851" i="1"/>
  <c r="G851" i="1"/>
  <c r="H851" i="1"/>
  <c r="I851" i="1"/>
  <c r="J851" i="1"/>
  <c r="M851" i="1"/>
  <c r="N851" i="1"/>
  <c r="O851" i="1"/>
  <c r="P851" i="1"/>
  <c r="Q851" i="1"/>
  <c r="R851" i="1"/>
  <c r="S851" i="1"/>
  <c r="T851" i="1"/>
  <c r="U851" i="1"/>
  <c r="A852" i="1"/>
  <c r="B852" i="1"/>
  <c r="C852" i="1"/>
  <c r="D852" i="1"/>
  <c r="E852" i="1"/>
  <c r="F852" i="1"/>
  <c r="G852" i="1"/>
  <c r="H852" i="1"/>
  <c r="I852" i="1"/>
  <c r="J852" i="1"/>
  <c r="M852" i="1"/>
  <c r="N852" i="1"/>
  <c r="O852" i="1"/>
  <c r="P852" i="1"/>
  <c r="Q852" i="1"/>
  <c r="R852" i="1"/>
  <c r="S852" i="1"/>
  <c r="T852" i="1"/>
  <c r="U852" i="1"/>
  <c r="A853" i="1"/>
  <c r="B853" i="1"/>
  <c r="C853" i="1"/>
  <c r="D853" i="1"/>
  <c r="E853" i="1"/>
  <c r="F853" i="1"/>
  <c r="G853" i="1"/>
  <c r="H853" i="1"/>
  <c r="I853" i="1"/>
  <c r="J853" i="1"/>
  <c r="M853" i="1"/>
  <c r="N853" i="1"/>
  <c r="O853" i="1"/>
  <c r="P853" i="1"/>
  <c r="Q853" i="1"/>
  <c r="R853" i="1"/>
  <c r="S853" i="1"/>
  <c r="T853" i="1"/>
  <c r="U853" i="1"/>
  <c r="A854" i="1"/>
  <c r="B854" i="1"/>
  <c r="C854" i="1"/>
  <c r="D854" i="1"/>
  <c r="E854" i="1"/>
  <c r="F854" i="1"/>
  <c r="G854" i="1"/>
  <c r="H854" i="1"/>
  <c r="I854" i="1"/>
  <c r="J854" i="1"/>
  <c r="M854" i="1"/>
  <c r="N854" i="1"/>
  <c r="O854" i="1"/>
  <c r="P854" i="1"/>
  <c r="Q854" i="1"/>
  <c r="R854" i="1"/>
  <c r="S854" i="1"/>
  <c r="T854" i="1"/>
  <c r="U854" i="1"/>
  <c r="A855" i="1"/>
  <c r="B855" i="1"/>
  <c r="C855" i="1"/>
  <c r="D855" i="1"/>
  <c r="E855" i="1"/>
  <c r="F855" i="1"/>
  <c r="G855" i="1"/>
  <c r="H855" i="1"/>
  <c r="I855" i="1"/>
  <c r="J855" i="1"/>
  <c r="M855" i="1"/>
  <c r="N855" i="1"/>
  <c r="O855" i="1"/>
  <c r="P855" i="1"/>
  <c r="Q855" i="1"/>
  <c r="R855" i="1"/>
  <c r="S855" i="1"/>
  <c r="T855" i="1"/>
  <c r="U855" i="1"/>
  <c r="A862" i="1"/>
  <c r="B862" i="1"/>
  <c r="C862" i="1"/>
  <c r="D862" i="1"/>
  <c r="E862" i="1"/>
  <c r="F862" i="1"/>
  <c r="G862" i="1"/>
  <c r="H862" i="1"/>
  <c r="I862" i="1"/>
  <c r="J862" i="1"/>
  <c r="M862" i="1"/>
  <c r="N862" i="1"/>
  <c r="O862" i="1"/>
  <c r="P862" i="1"/>
  <c r="Q862" i="1"/>
  <c r="R862" i="1"/>
  <c r="S862" i="1"/>
  <c r="T862" i="1"/>
  <c r="U862" i="1"/>
  <c r="A856" i="1"/>
  <c r="B856" i="1"/>
  <c r="C856" i="1"/>
  <c r="D856" i="1"/>
  <c r="E856" i="1"/>
  <c r="F856" i="1"/>
  <c r="G856" i="1"/>
  <c r="H856" i="1"/>
  <c r="I856" i="1"/>
  <c r="J856" i="1"/>
  <c r="M856" i="1"/>
  <c r="N856" i="1"/>
  <c r="O856" i="1"/>
  <c r="P856" i="1"/>
  <c r="Q856" i="1"/>
  <c r="R856" i="1"/>
  <c r="S856" i="1"/>
  <c r="T856" i="1"/>
  <c r="U856" i="1"/>
  <c r="A857" i="1"/>
  <c r="B857" i="1"/>
  <c r="C857" i="1"/>
  <c r="D857" i="1"/>
  <c r="E857" i="1"/>
  <c r="F857" i="1"/>
  <c r="G857" i="1"/>
  <c r="H857" i="1"/>
  <c r="I857" i="1"/>
  <c r="J857" i="1"/>
  <c r="M857" i="1"/>
  <c r="N857" i="1"/>
  <c r="O857" i="1"/>
  <c r="P857" i="1"/>
  <c r="Q857" i="1"/>
  <c r="R857" i="1"/>
  <c r="S857" i="1"/>
  <c r="T857" i="1"/>
  <c r="U857" i="1"/>
  <c r="A858" i="1"/>
  <c r="B858" i="1"/>
  <c r="C858" i="1"/>
  <c r="D858" i="1"/>
  <c r="E858" i="1"/>
  <c r="F858" i="1"/>
  <c r="G858" i="1"/>
  <c r="H858" i="1"/>
  <c r="I858" i="1"/>
  <c r="J858" i="1"/>
  <c r="M858" i="1"/>
  <c r="N858" i="1"/>
  <c r="O858" i="1"/>
  <c r="P858" i="1"/>
  <c r="Q858" i="1"/>
  <c r="R858" i="1"/>
  <c r="S858" i="1"/>
  <c r="T858" i="1"/>
  <c r="U858" i="1"/>
  <c r="A859" i="1"/>
  <c r="B859" i="1"/>
  <c r="C859" i="1"/>
  <c r="D859" i="1"/>
  <c r="E859" i="1"/>
  <c r="F859" i="1"/>
  <c r="G859" i="1"/>
  <c r="H859" i="1"/>
  <c r="I859" i="1"/>
  <c r="J859" i="1"/>
  <c r="M859" i="1"/>
  <c r="N859" i="1"/>
  <c r="O859" i="1"/>
  <c r="P859" i="1"/>
  <c r="Q859" i="1"/>
  <c r="R859" i="1"/>
  <c r="S859" i="1"/>
  <c r="T859" i="1"/>
  <c r="U859" i="1"/>
  <c r="A861" i="1"/>
  <c r="B861" i="1"/>
  <c r="C861" i="1"/>
  <c r="D861" i="1"/>
  <c r="E861" i="1"/>
  <c r="F861" i="1"/>
  <c r="G861" i="1"/>
  <c r="H861" i="1"/>
  <c r="I861" i="1"/>
  <c r="J861" i="1"/>
  <c r="M861" i="1"/>
  <c r="N861" i="1"/>
  <c r="O861" i="1"/>
  <c r="P861" i="1"/>
  <c r="Q861" i="1"/>
  <c r="R861" i="1"/>
  <c r="S861" i="1"/>
  <c r="T861" i="1"/>
  <c r="U861" i="1"/>
  <c r="A860" i="1"/>
  <c r="B860" i="1"/>
  <c r="C860" i="1"/>
  <c r="D860" i="1"/>
  <c r="E860" i="1"/>
  <c r="F860" i="1"/>
  <c r="G860" i="1"/>
  <c r="H860" i="1"/>
  <c r="I860" i="1"/>
  <c r="J860" i="1"/>
  <c r="M860" i="1"/>
  <c r="N860" i="1"/>
  <c r="O860" i="1"/>
  <c r="P860" i="1"/>
  <c r="Q860" i="1"/>
  <c r="R860" i="1"/>
  <c r="S860" i="1"/>
  <c r="T860" i="1"/>
  <c r="U860" i="1"/>
  <c r="A784" i="1"/>
  <c r="B784" i="1"/>
  <c r="C784" i="1"/>
  <c r="D784" i="1"/>
  <c r="E784" i="1"/>
  <c r="F784" i="1"/>
  <c r="G784" i="1"/>
  <c r="H784" i="1"/>
  <c r="I784" i="1"/>
  <c r="J784" i="1"/>
  <c r="M784" i="1"/>
  <c r="N784" i="1"/>
  <c r="O784" i="1"/>
  <c r="P784" i="1"/>
  <c r="Q784" i="1"/>
  <c r="R784" i="1"/>
  <c r="S784" i="1"/>
  <c r="T784" i="1"/>
  <c r="U784" i="1"/>
  <c r="A785" i="1"/>
  <c r="B785" i="1"/>
  <c r="C785" i="1"/>
  <c r="D785" i="1"/>
  <c r="E785" i="1"/>
  <c r="F785" i="1"/>
  <c r="G785" i="1"/>
  <c r="H785" i="1"/>
  <c r="I785" i="1"/>
  <c r="J785" i="1"/>
  <c r="M785" i="1"/>
  <c r="N785" i="1"/>
  <c r="O785" i="1"/>
  <c r="P785" i="1"/>
  <c r="Q785" i="1"/>
  <c r="R785" i="1"/>
  <c r="S785" i="1"/>
  <c r="T785" i="1"/>
  <c r="U785" i="1"/>
  <c r="A786" i="1"/>
  <c r="B786" i="1"/>
  <c r="C786" i="1"/>
  <c r="D786" i="1"/>
  <c r="E786" i="1"/>
  <c r="F786" i="1"/>
  <c r="G786" i="1"/>
  <c r="H786" i="1"/>
  <c r="I786" i="1"/>
  <c r="J786" i="1"/>
  <c r="M786" i="1"/>
  <c r="N786" i="1"/>
  <c r="O786" i="1"/>
  <c r="P786" i="1"/>
  <c r="Q786" i="1"/>
  <c r="R786" i="1"/>
  <c r="S786" i="1"/>
  <c r="T786" i="1"/>
  <c r="U786" i="1"/>
  <c r="A787" i="1"/>
  <c r="B787" i="1"/>
  <c r="C787" i="1"/>
  <c r="D787" i="1"/>
  <c r="E787" i="1"/>
  <c r="F787" i="1"/>
  <c r="G787" i="1"/>
  <c r="H787" i="1"/>
  <c r="I787" i="1"/>
  <c r="J787" i="1"/>
  <c r="M787" i="1"/>
  <c r="N787" i="1"/>
  <c r="O787" i="1"/>
  <c r="P787" i="1"/>
  <c r="Q787" i="1"/>
  <c r="R787" i="1"/>
  <c r="S787" i="1"/>
  <c r="T787" i="1"/>
  <c r="U787" i="1"/>
  <c r="A743" i="1"/>
  <c r="B743" i="1"/>
  <c r="C743" i="1"/>
  <c r="D743" i="1"/>
  <c r="E743" i="1"/>
  <c r="F743" i="1"/>
  <c r="G743" i="1"/>
  <c r="H743" i="1"/>
  <c r="I743" i="1"/>
  <c r="J743" i="1"/>
  <c r="M743" i="1"/>
  <c r="N743" i="1"/>
  <c r="O743" i="1"/>
  <c r="P743" i="1"/>
  <c r="Q743" i="1"/>
  <c r="R743" i="1"/>
  <c r="S743" i="1"/>
  <c r="T743" i="1"/>
  <c r="U743" i="1"/>
  <c r="A568" i="1"/>
  <c r="B568" i="1"/>
  <c r="C568" i="1"/>
  <c r="D568" i="1"/>
  <c r="E568" i="1"/>
  <c r="F568" i="1"/>
  <c r="G568" i="1"/>
  <c r="H568" i="1"/>
  <c r="I568" i="1"/>
  <c r="J568" i="1"/>
  <c r="M568" i="1"/>
  <c r="N568" i="1"/>
  <c r="O568" i="1"/>
  <c r="P568" i="1"/>
  <c r="Q568" i="1"/>
  <c r="R568" i="1"/>
  <c r="S568" i="1"/>
  <c r="T568" i="1"/>
  <c r="U568" i="1"/>
  <c r="A434" i="1"/>
  <c r="B434" i="1"/>
  <c r="C434" i="1"/>
  <c r="D434" i="1"/>
  <c r="E434" i="1"/>
  <c r="F434" i="1"/>
  <c r="G434" i="1"/>
  <c r="H434" i="1"/>
  <c r="I434" i="1"/>
  <c r="J434" i="1"/>
  <c r="M434" i="1"/>
  <c r="N434" i="1"/>
  <c r="O434" i="1"/>
  <c r="P434" i="1"/>
  <c r="Q434" i="1"/>
  <c r="R434" i="1"/>
  <c r="S434" i="1"/>
  <c r="T434" i="1"/>
  <c r="U434" i="1"/>
  <c r="A435" i="1"/>
  <c r="B435" i="1"/>
  <c r="C435" i="1"/>
  <c r="D435" i="1"/>
  <c r="E435" i="1"/>
  <c r="F435" i="1"/>
  <c r="G435" i="1"/>
  <c r="H435" i="1"/>
  <c r="I435" i="1"/>
  <c r="J435" i="1"/>
  <c r="M435" i="1"/>
  <c r="N435" i="1"/>
  <c r="O435" i="1"/>
  <c r="P435" i="1"/>
  <c r="Q435" i="1"/>
  <c r="R435" i="1"/>
  <c r="S435" i="1"/>
  <c r="T435" i="1"/>
  <c r="U435" i="1"/>
  <c r="A436" i="1"/>
  <c r="B436" i="1"/>
  <c r="C436" i="1"/>
  <c r="D436" i="1"/>
  <c r="E436" i="1"/>
  <c r="F436" i="1"/>
  <c r="G436" i="1"/>
  <c r="H436" i="1"/>
  <c r="I436" i="1"/>
  <c r="J436" i="1"/>
  <c r="M436" i="1"/>
  <c r="N436" i="1"/>
  <c r="O436" i="1"/>
  <c r="P436" i="1"/>
  <c r="Q436" i="1"/>
  <c r="R436" i="1"/>
  <c r="S436" i="1"/>
  <c r="T436" i="1"/>
  <c r="U436" i="1"/>
  <c r="A438" i="1"/>
  <c r="B438" i="1"/>
  <c r="C438" i="1"/>
  <c r="D438" i="1"/>
  <c r="E438" i="1"/>
  <c r="F438" i="1"/>
  <c r="G438" i="1"/>
  <c r="H438" i="1"/>
  <c r="I438" i="1"/>
  <c r="J438" i="1"/>
  <c r="M438" i="1"/>
  <c r="N438" i="1"/>
  <c r="O438" i="1"/>
  <c r="P438" i="1"/>
  <c r="Q438" i="1"/>
  <c r="R438" i="1"/>
  <c r="S438" i="1"/>
  <c r="T438" i="1"/>
  <c r="U438" i="1"/>
  <c r="A437" i="1"/>
  <c r="B437" i="1"/>
  <c r="C437" i="1"/>
  <c r="D437" i="1"/>
  <c r="E437" i="1"/>
  <c r="F437" i="1"/>
  <c r="G437" i="1"/>
  <c r="H437" i="1"/>
  <c r="I437" i="1"/>
  <c r="J437" i="1"/>
  <c r="M437" i="1"/>
  <c r="N437" i="1"/>
  <c r="O437" i="1"/>
  <c r="P437" i="1"/>
  <c r="Q437" i="1"/>
  <c r="R437" i="1"/>
  <c r="S437" i="1"/>
  <c r="T437" i="1"/>
  <c r="U437" i="1"/>
  <c r="A366" i="1"/>
  <c r="B366" i="1"/>
  <c r="C366" i="1"/>
  <c r="D366" i="1"/>
  <c r="E366" i="1"/>
  <c r="F366" i="1"/>
  <c r="G366" i="1"/>
  <c r="H366" i="1"/>
  <c r="I366" i="1"/>
  <c r="J366" i="1"/>
  <c r="M366" i="1"/>
  <c r="N366" i="1"/>
  <c r="O366" i="1"/>
  <c r="P366" i="1"/>
  <c r="Q366" i="1"/>
  <c r="R366" i="1"/>
  <c r="S366" i="1"/>
  <c r="T366" i="1"/>
  <c r="U366" i="1"/>
  <c r="A374" i="1"/>
  <c r="B374" i="1"/>
  <c r="C374" i="1"/>
  <c r="D374" i="1"/>
  <c r="E374" i="1"/>
  <c r="F374" i="1"/>
  <c r="G374" i="1"/>
  <c r="H374" i="1"/>
  <c r="I374" i="1"/>
  <c r="J374" i="1"/>
  <c r="M374" i="1"/>
  <c r="N374" i="1"/>
  <c r="O374" i="1"/>
  <c r="P374" i="1"/>
  <c r="Q374" i="1"/>
  <c r="R374" i="1"/>
  <c r="S374" i="1"/>
  <c r="T374" i="1"/>
  <c r="U374" i="1"/>
  <c r="A367" i="1"/>
  <c r="B367" i="1"/>
  <c r="C367" i="1"/>
  <c r="D367" i="1"/>
  <c r="E367" i="1"/>
  <c r="F367" i="1"/>
  <c r="G367" i="1"/>
  <c r="H367" i="1"/>
  <c r="I367" i="1"/>
  <c r="J367" i="1"/>
  <c r="M367" i="1"/>
  <c r="N367" i="1"/>
  <c r="O367" i="1"/>
  <c r="P367" i="1"/>
  <c r="Q367" i="1"/>
  <c r="R367" i="1"/>
  <c r="S367" i="1"/>
  <c r="T367" i="1"/>
  <c r="U367" i="1"/>
  <c r="A368" i="1"/>
  <c r="B368" i="1"/>
  <c r="C368" i="1"/>
  <c r="D368" i="1"/>
  <c r="E368" i="1"/>
  <c r="F368" i="1"/>
  <c r="G368" i="1"/>
  <c r="H368" i="1"/>
  <c r="I368" i="1"/>
  <c r="J368" i="1"/>
  <c r="M368" i="1"/>
  <c r="N368" i="1"/>
  <c r="O368" i="1"/>
  <c r="P368" i="1"/>
  <c r="Q368" i="1"/>
  <c r="R368" i="1"/>
  <c r="S368" i="1"/>
  <c r="T368" i="1"/>
  <c r="U368" i="1"/>
  <c r="A369" i="1"/>
  <c r="B369" i="1"/>
  <c r="C369" i="1"/>
  <c r="D369" i="1"/>
  <c r="E369" i="1"/>
  <c r="F369" i="1"/>
  <c r="G369" i="1"/>
  <c r="H369" i="1"/>
  <c r="I369" i="1"/>
  <c r="J369" i="1"/>
  <c r="M369" i="1"/>
  <c r="N369" i="1"/>
  <c r="O369" i="1"/>
  <c r="P369" i="1"/>
  <c r="Q369" i="1"/>
  <c r="R369" i="1"/>
  <c r="S369" i="1"/>
  <c r="T369" i="1"/>
  <c r="U369" i="1"/>
  <c r="A371" i="1"/>
  <c r="B371" i="1"/>
  <c r="C371" i="1"/>
  <c r="D371" i="1"/>
  <c r="E371" i="1"/>
  <c r="F371" i="1"/>
  <c r="G371" i="1"/>
  <c r="H371" i="1"/>
  <c r="I371" i="1"/>
  <c r="J371" i="1"/>
  <c r="M371" i="1"/>
  <c r="N371" i="1"/>
  <c r="O371" i="1"/>
  <c r="P371" i="1"/>
  <c r="Q371" i="1"/>
  <c r="R371" i="1"/>
  <c r="S371" i="1"/>
  <c r="T371" i="1"/>
  <c r="U371" i="1"/>
  <c r="A372" i="1"/>
  <c r="B372" i="1"/>
  <c r="C372" i="1"/>
  <c r="D372" i="1"/>
  <c r="E372" i="1"/>
  <c r="F372" i="1"/>
  <c r="G372" i="1"/>
  <c r="H372" i="1"/>
  <c r="I372" i="1"/>
  <c r="J372" i="1"/>
  <c r="M372" i="1"/>
  <c r="N372" i="1"/>
  <c r="O372" i="1"/>
  <c r="P372" i="1"/>
  <c r="Q372" i="1"/>
  <c r="R372" i="1"/>
  <c r="S372" i="1"/>
  <c r="T372" i="1"/>
  <c r="U372" i="1"/>
  <c r="A373" i="1"/>
  <c r="B373" i="1"/>
  <c r="C373" i="1"/>
  <c r="D373" i="1"/>
  <c r="E373" i="1"/>
  <c r="F373" i="1"/>
  <c r="G373" i="1"/>
  <c r="H373" i="1"/>
  <c r="I373" i="1"/>
  <c r="J373" i="1"/>
  <c r="M373" i="1"/>
  <c r="N373" i="1"/>
  <c r="O373" i="1"/>
  <c r="P373" i="1"/>
  <c r="Q373" i="1"/>
  <c r="R373" i="1"/>
  <c r="S373" i="1"/>
  <c r="T373" i="1"/>
  <c r="U373" i="1"/>
  <c r="A375" i="1"/>
  <c r="B375" i="1"/>
  <c r="C375" i="1"/>
  <c r="D375" i="1"/>
  <c r="E375" i="1"/>
  <c r="F375" i="1"/>
  <c r="G375" i="1"/>
  <c r="H375" i="1"/>
  <c r="I375" i="1"/>
  <c r="J375" i="1"/>
  <c r="M375" i="1"/>
  <c r="N375" i="1"/>
  <c r="O375" i="1"/>
  <c r="P375" i="1"/>
  <c r="Q375" i="1"/>
  <c r="R375" i="1"/>
  <c r="S375" i="1"/>
  <c r="T375" i="1"/>
  <c r="U375" i="1"/>
  <c r="A370" i="1"/>
  <c r="B370" i="1"/>
  <c r="C370" i="1"/>
  <c r="D370" i="1"/>
  <c r="E370" i="1"/>
  <c r="F370" i="1"/>
  <c r="G370" i="1"/>
  <c r="H370" i="1"/>
  <c r="I370" i="1"/>
  <c r="J370" i="1"/>
  <c r="M370" i="1"/>
  <c r="N370" i="1"/>
  <c r="O370" i="1"/>
  <c r="P370" i="1"/>
  <c r="Q370" i="1"/>
  <c r="R370" i="1"/>
  <c r="S370" i="1"/>
  <c r="T370" i="1"/>
  <c r="U370" i="1"/>
  <c r="A305" i="1"/>
  <c r="B305" i="1"/>
  <c r="C305" i="1"/>
  <c r="D305" i="1"/>
  <c r="E305" i="1"/>
  <c r="F305" i="1"/>
  <c r="G305" i="1"/>
  <c r="H305" i="1"/>
  <c r="I305" i="1"/>
  <c r="J305" i="1"/>
  <c r="M305" i="1"/>
  <c r="N305" i="1"/>
  <c r="O305" i="1"/>
  <c r="Q305" i="1"/>
  <c r="R305" i="1"/>
  <c r="S305" i="1"/>
  <c r="T305" i="1"/>
  <c r="U305" i="1"/>
  <c r="A306" i="1"/>
  <c r="B306" i="1"/>
  <c r="C306" i="1"/>
  <c r="D306" i="1"/>
  <c r="E306" i="1"/>
  <c r="F306" i="1"/>
  <c r="G306" i="1"/>
  <c r="H306" i="1"/>
  <c r="I306" i="1"/>
  <c r="J306" i="1"/>
  <c r="M306" i="1"/>
  <c r="N306" i="1"/>
  <c r="O306" i="1"/>
  <c r="P306" i="1"/>
  <c r="Q306" i="1"/>
  <c r="R306" i="1"/>
  <c r="S306" i="1"/>
  <c r="T306" i="1"/>
  <c r="U306" i="1"/>
  <c r="A307" i="1"/>
  <c r="B307" i="1"/>
  <c r="C307" i="1"/>
  <c r="D307" i="1"/>
  <c r="E307" i="1"/>
  <c r="F307" i="1"/>
  <c r="G307" i="1"/>
  <c r="H307" i="1"/>
  <c r="I307" i="1"/>
  <c r="J307" i="1"/>
  <c r="M307" i="1"/>
  <c r="N307" i="1"/>
  <c r="O307" i="1"/>
  <c r="P307" i="1"/>
  <c r="Q307" i="1"/>
  <c r="R307" i="1"/>
  <c r="S307" i="1"/>
  <c r="T307" i="1"/>
  <c r="U307" i="1"/>
  <c r="A109" i="1"/>
  <c r="B109" i="1"/>
  <c r="C109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A110" i="1"/>
  <c r="B110" i="1"/>
  <c r="C110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A63" i="1"/>
  <c r="B63" i="1"/>
  <c r="C63" i="1"/>
  <c r="D63" i="1"/>
  <c r="E63" i="1"/>
  <c r="F63" i="1"/>
  <c r="G63" i="1"/>
  <c r="H63" i="1"/>
  <c r="I63" i="1"/>
  <c r="J63" i="1"/>
  <c r="M63" i="1"/>
  <c r="N63" i="1"/>
  <c r="O63" i="1"/>
  <c r="P63" i="1"/>
  <c r="Q63" i="1"/>
  <c r="R63" i="1"/>
  <c r="S63" i="1"/>
  <c r="T63" i="1"/>
  <c r="U63" i="1"/>
  <c r="A64" i="1"/>
  <c r="B64" i="1"/>
  <c r="C64" i="1"/>
  <c r="D64" i="1"/>
  <c r="E64" i="1"/>
  <c r="F64" i="1"/>
  <c r="G64" i="1"/>
  <c r="H64" i="1"/>
  <c r="I64" i="1"/>
  <c r="J64" i="1"/>
  <c r="M64" i="1"/>
  <c r="N64" i="1"/>
  <c r="O64" i="1"/>
  <c r="P64" i="1"/>
  <c r="Q64" i="1"/>
  <c r="R64" i="1"/>
  <c r="S64" i="1"/>
  <c r="T64" i="1"/>
  <c r="U64" i="1"/>
  <c r="A1883" i="1"/>
  <c r="B1883" i="1"/>
  <c r="C1883" i="1"/>
  <c r="D1883" i="1"/>
  <c r="E1883" i="1"/>
  <c r="F1883" i="1"/>
  <c r="G1883" i="1"/>
  <c r="H1883" i="1"/>
  <c r="I1883" i="1"/>
  <c r="J1883" i="1"/>
  <c r="M1883" i="1"/>
  <c r="N1883" i="1"/>
  <c r="O1883" i="1"/>
  <c r="Q1883" i="1"/>
  <c r="R1883" i="1"/>
  <c r="S1883" i="1"/>
  <c r="T1883" i="1"/>
  <c r="U1883" i="1"/>
  <c r="A1882" i="1"/>
  <c r="B1882" i="1"/>
  <c r="C1882" i="1"/>
  <c r="D1882" i="1"/>
  <c r="E1882" i="1"/>
  <c r="F1882" i="1"/>
  <c r="G1882" i="1"/>
  <c r="H1882" i="1"/>
  <c r="I1882" i="1"/>
  <c r="J1882" i="1"/>
  <c r="M1882" i="1"/>
  <c r="N1882" i="1"/>
  <c r="O1882" i="1"/>
  <c r="Q1882" i="1"/>
  <c r="R1882" i="1"/>
  <c r="S1882" i="1"/>
  <c r="T1882" i="1"/>
  <c r="U1882" i="1"/>
  <c r="A1831" i="1"/>
  <c r="B1831" i="1"/>
  <c r="C1831" i="1"/>
  <c r="D1831" i="1"/>
  <c r="E1831" i="1"/>
  <c r="F1831" i="1"/>
  <c r="G1831" i="1"/>
  <c r="H1831" i="1"/>
  <c r="I1831" i="1"/>
  <c r="J1831" i="1"/>
  <c r="M1831" i="1"/>
  <c r="N1831" i="1"/>
  <c r="O1831" i="1"/>
  <c r="P1831" i="1"/>
  <c r="Q1831" i="1"/>
  <c r="R1831" i="1"/>
  <c r="S1831" i="1"/>
  <c r="T1831" i="1"/>
  <c r="U1831" i="1"/>
  <c r="A1832" i="1"/>
  <c r="B1832" i="1"/>
  <c r="C1832" i="1"/>
  <c r="D1832" i="1"/>
  <c r="E1832" i="1"/>
  <c r="F1832" i="1"/>
  <c r="G1832" i="1"/>
  <c r="H1832" i="1"/>
  <c r="I1832" i="1"/>
  <c r="J1832" i="1"/>
  <c r="M1832" i="1"/>
  <c r="N1832" i="1"/>
  <c r="O1832" i="1"/>
  <c r="P1832" i="1"/>
  <c r="Q1832" i="1"/>
  <c r="R1832" i="1"/>
  <c r="S1832" i="1"/>
  <c r="T1832" i="1"/>
  <c r="U1832" i="1"/>
  <c r="A1833" i="1"/>
  <c r="B1833" i="1"/>
  <c r="C1833" i="1"/>
  <c r="D1833" i="1"/>
  <c r="E1833" i="1"/>
  <c r="F1833" i="1"/>
  <c r="G1833" i="1"/>
  <c r="H1833" i="1"/>
  <c r="I1833" i="1"/>
  <c r="J1833" i="1"/>
  <c r="M1833" i="1"/>
  <c r="N1833" i="1"/>
  <c r="O1833" i="1"/>
  <c r="P1833" i="1"/>
  <c r="Q1833" i="1"/>
  <c r="R1833" i="1"/>
  <c r="S1833" i="1"/>
  <c r="T1833" i="1"/>
  <c r="U1833" i="1"/>
  <c r="A1835" i="1"/>
  <c r="B1835" i="1"/>
  <c r="C1835" i="1"/>
  <c r="D1835" i="1"/>
  <c r="E1835" i="1"/>
  <c r="F1835" i="1"/>
  <c r="G1835" i="1"/>
  <c r="H1835" i="1"/>
  <c r="I1835" i="1"/>
  <c r="J1835" i="1"/>
  <c r="M1835" i="1"/>
  <c r="N1835" i="1"/>
  <c r="O1835" i="1"/>
  <c r="P1835" i="1"/>
  <c r="Q1835" i="1"/>
  <c r="R1835" i="1"/>
  <c r="S1835" i="1"/>
  <c r="T1835" i="1"/>
  <c r="U1835" i="1"/>
  <c r="A1834" i="1"/>
  <c r="B1834" i="1"/>
  <c r="C1834" i="1"/>
  <c r="D1834" i="1"/>
  <c r="E1834" i="1"/>
  <c r="F1834" i="1"/>
  <c r="G1834" i="1"/>
  <c r="H1834" i="1"/>
  <c r="I1834" i="1"/>
  <c r="J1834" i="1"/>
  <c r="M1834" i="1"/>
  <c r="N1834" i="1"/>
  <c r="O1834" i="1"/>
  <c r="P1834" i="1"/>
  <c r="Q1834" i="1"/>
  <c r="R1834" i="1"/>
  <c r="S1834" i="1"/>
  <c r="T1834" i="1"/>
  <c r="U1834" i="1"/>
  <c r="A1772" i="1"/>
  <c r="B1772" i="1"/>
  <c r="C1772" i="1"/>
  <c r="D1772" i="1"/>
  <c r="E1772" i="1"/>
  <c r="F1772" i="1"/>
  <c r="G1772" i="1"/>
  <c r="H1772" i="1"/>
  <c r="I1772" i="1"/>
  <c r="J1772" i="1"/>
  <c r="M1772" i="1"/>
  <c r="N1772" i="1"/>
  <c r="O1772" i="1"/>
  <c r="P1772" i="1"/>
  <c r="Q1772" i="1"/>
  <c r="R1772" i="1"/>
  <c r="S1772" i="1"/>
  <c r="T1772" i="1"/>
  <c r="U1772" i="1"/>
  <c r="A1771" i="1"/>
  <c r="B1771" i="1"/>
  <c r="C1771" i="1"/>
  <c r="D1771" i="1"/>
  <c r="E1771" i="1"/>
  <c r="F1771" i="1"/>
  <c r="G1771" i="1"/>
  <c r="H1771" i="1"/>
  <c r="I1771" i="1"/>
  <c r="J1771" i="1"/>
  <c r="M1771" i="1"/>
  <c r="N1771" i="1"/>
  <c r="O1771" i="1"/>
  <c r="P1771" i="1"/>
  <c r="Q1771" i="1"/>
  <c r="R1771" i="1"/>
  <c r="S1771" i="1"/>
  <c r="T1771" i="1"/>
  <c r="U1771" i="1"/>
  <c r="A1643" i="1"/>
  <c r="B1643" i="1"/>
  <c r="C1643" i="1"/>
  <c r="D1643" i="1"/>
  <c r="E1643" i="1"/>
  <c r="F1643" i="1"/>
  <c r="G1643" i="1"/>
  <c r="H1643" i="1"/>
  <c r="I1643" i="1"/>
  <c r="J1643" i="1"/>
  <c r="M1643" i="1"/>
  <c r="N1643" i="1"/>
  <c r="O1643" i="1"/>
  <c r="P1643" i="1"/>
  <c r="Q1643" i="1"/>
  <c r="R1643" i="1"/>
  <c r="S1643" i="1"/>
  <c r="T1643" i="1"/>
  <c r="U1643" i="1"/>
  <c r="A1564" i="1"/>
  <c r="B1564" i="1"/>
  <c r="C1564" i="1"/>
  <c r="D1564" i="1"/>
  <c r="E1564" i="1"/>
  <c r="F1564" i="1"/>
  <c r="G1564" i="1"/>
  <c r="H1564" i="1"/>
  <c r="I1564" i="1"/>
  <c r="J1564" i="1"/>
  <c r="M1564" i="1"/>
  <c r="N1564" i="1"/>
  <c r="O1564" i="1"/>
  <c r="Q1564" i="1"/>
  <c r="R1564" i="1"/>
  <c r="S1564" i="1"/>
  <c r="T1564" i="1"/>
  <c r="U1564" i="1"/>
  <c r="A1565" i="1"/>
  <c r="B1565" i="1"/>
  <c r="C1565" i="1"/>
  <c r="D1565" i="1"/>
  <c r="E1565" i="1"/>
  <c r="F1565" i="1"/>
  <c r="G1565" i="1"/>
  <c r="H1565" i="1"/>
  <c r="I1565" i="1"/>
  <c r="J1565" i="1"/>
  <c r="M1565" i="1"/>
  <c r="N1565" i="1"/>
  <c r="O1565" i="1"/>
  <c r="P1565" i="1"/>
  <c r="Q1565" i="1"/>
  <c r="R1565" i="1"/>
  <c r="S1565" i="1"/>
  <c r="T1565" i="1"/>
  <c r="U1565" i="1"/>
  <c r="A1566" i="1"/>
  <c r="B1566" i="1"/>
  <c r="C1566" i="1"/>
  <c r="D1566" i="1"/>
  <c r="E1566" i="1"/>
  <c r="F1566" i="1"/>
  <c r="G1566" i="1"/>
  <c r="H1566" i="1"/>
  <c r="I1566" i="1"/>
  <c r="J1566" i="1"/>
  <c r="M1566" i="1"/>
  <c r="N1566" i="1"/>
  <c r="O1566" i="1"/>
  <c r="P1566" i="1"/>
  <c r="Q1566" i="1"/>
  <c r="R1566" i="1"/>
  <c r="S1566" i="1"/>
  <c r="T1566" i="1"/>
  <c r="U1566" i="1"/>
  <c r="A1501" i="1"/>
  <c r="B1501" i="1"/>
  <c r="C1501" i="1"/>
  <c r="D1501" i="1"/>
  <c r="E1501" i="1"/>
  <c r="F1501" i="1"/>
  <c r="G1501" i="1"/>
  <c r="H1501" i="1"/>
  <c r="I1501" i="1"/>
  <c r="J1501" i="1"/>
  <c r="M1501" i="1"/>
  <c r="N1501" i="1"/>
  <c r="O1501" i="1"/>
  <c r="P1501" i="1"/>
  <c r="Q1501" i="1"/>
  <c r="R1501" i="1"/>
  <c r="S1501" i="1"/>
  <c r="T1501" i="1"/>
  <c r="U1501" i="1"/>
  <c r="A1503" i="1"/>
  <c r="B1503" i="1"/>
  <c r="C1503" i="1"/>
  <c r="D1503" i="1"/>
  <c r="E1503" i="1"/>
  <c r="F1503" i="1"/>
  <c r="G1503" i="1"/>
  <c r="H1503" i="1"/>
  <c r="I1503" i="1"/>
  <c r="J1503" i="1"/>
  <c r="M1503" i="1"/>
  <c r="N1503" i="1"/>
  <c r="O1503" i="1"/>
  <c r="P1503" i="1"/>
  <c r="Q1503" i="1"/>
  <c r="R1503" i="1"/>
  <c r="S1503" i="1"/>
  <c r="T1503" i="1"/>
  <c r="U1503" i="1"/>
  <c r="A1502" i="1"/>
  <c r="B1502" i="1"/>
  <c r="C1502" i="1"/>
  <c r="D1502" i="1"/>
  <c r="E1502" i="1"/>
  <c r="F1502" i="1"/>
  <c r="G1502" i="1"/>
  <c r="H1502" i="1"/>
  <c r="I1502" i="1"/>
  <c r="J1502" i="1"/>
  <c r="M1502" i="1"/>
  <c r="N1502" i="1"/>
  <c r="O1502" i="1"/>
  <c r="P1502" i="1"/>
  <c r="Q1502" i="1"/>
  <c r="R1502" i="1"/>
  <c r="S1502" i="1"/>
  <c r="T1502" i="1"/>
  <c r="U1502" i="1"/>
  <c r="A1434" i="1"/>
  <c r="B1434" i="1"/>
  <c r="C1434" i="1"/>
  <c r="D1434" i="1"/>
  <c r="E1434" i="1"/>
  <c r="F1434" i="1"/>
  <c r="G1434" i="1"/>
  <c r="H1434" i="1"/>
  <c r="I1434" i="1"/>
  <c r="J1434" i="1"/>
  <c r="M1434" i="1"/>
  <c r="N1434" i="1"/>
  <c r="O1434" i="1"/>
  <c r="P1434" i="1"/>
  <c r="Q1434" i="1"/>
  <c r="R1434" i="1"/>
  <c r="S1434" i="1"/>
  <c r="T1434" i="1"/>
  <c r="U1434" i="1"/>
  <c r="A1435" i="1"/>
  <c r="B1435" i="1"/>
  <c r="C1435" i="1"/>
  <c r="D1435" i="1"/>
  <c r="E1435" i="1"/>
  <c r="F1435" i="1"/>
  <c r="G1435" i="1"/>
  <c r="H1435" i="1"/>
  <c r="I1435" i="1"/>
  <c r="J1435" i="1"/>
  <c r="M1435" i="1"/>
  <c r="N1435" i="1"/>
  <c r="O1435" i="1"/>
  <c r="P1435" i="1"/>
  <c r="Q1435" i="1"/>
  <c r="R1435" i="1"/>
  <c r="S1435" i="1"/>
  <c r="T1435" i="1"/>
  <c r="U1435" i="1"/>
  <c r="A1436" i="1"/>
  <c r="B1436" i="1"/>
  <c r="C1436" i="1"/>
  <c r="D1436" i="1"/>
  <c r="E1436" i="1"/>
  <c r="F1436" i="1"/>
  <c r="G1436" i="1"/>
  <c r="H1436" i="1"/>
  <c r="I1436" i="1"/>
  <c r="J1436" i="1"/>
  <c r="M1436" i="1"/>
  <c r="N1436" i="1"/>
  <c r="O1436" i="1"/>
  <c r="P1436" i="1"/>
  <c r="Q1436" i="1"/>
  <c r="R1436" i="1"/>
  <c r="S1436" i="1"/>
  <c r="T1436" i="1"/>
  <c r="U1436" i="1"/>
  <c r="A1437" i="1"/>
  <c r="B1437" i="1"/>
  <c r="C1437" i="1"/>
  <c r="D1437" i="1"/>
  <c r="E1437" i="1"/>
  <c r="F1437" i="1"/>
  <c r="G1437" i="1"/>
  <c r="H1437" i="1"/>
  <c r="I1437" i="1"/>
  <c r="J1437" i="1"/>
  <c r="M1437" i="1"/>
  <c r="N1437" i="1"/>
  <c r="O1437" i="1"/>
  <c r="P1437" i="1"/>
  <c r="Q1437" i="1"/>
  <c r="R1437" i="1"/>
  <c r="S1437" i="1"/>
  <c r="T1437" i="1"/>
  <c r="U1437" i="1"/>
  <c r="A1438" i="1"/>
  <c r="B1438" i="1"/>
  <c r="C1438" i="1"/>
  <c r="D1438" i="1"/>
  <c r="E1438" i="1"/>
  <c r="F1438" i="1"/>
  <c r="G1438" i="1"/>
  <c r="H1438" i="1"/>
  <c r="I1438" i="1"/>
  <c r="J1438" i="1"/>
  <c r="M1438" i="1"/>
  <c r="N1438" i="1"/>
  <c r="O1438" i="1"/>
  <c r="P1438" i="1"/>
  <c r="Q1438" i="1"/>
  <c r="R1438" i="1"/>
  <c r="S1438" i="1"/>
  <c r="T1438" i="1"/>
  <c r="U1438" i="1"/>
  <c r="A1439" i="1"/>
  <c r="B1439" i="1"/>
  <c r="C1439" i="1"/>
  <c r="D1439" i="1"/>
  <c r="E1439" i="1"/>
  <c r="F1439" i="1"/>
  <c r="G1439" i="1"/>
  <c r="H1439" i="1"/>
  <c r="I1439" i="1"/>
  <c r="J1439" i="1"/>
  <c r="M1439" i="1"/>
  <c r="N1439" i="1"/>
  <c r="O1439" i="1"/>
  <c r="P1439" i="1"/>
  <c r="Q1439" i="1"/>
  <c r="R1439" i="1"/>
  <c r="S1439" i="1"/>
  <c r="T1439" i="1"/>
  <c r="U1439" i="1"/>
  <c r="A1440" i="1"/>
  <c r="B1440" i="1"/>
  <c r="C1440" i="1"/>
  <c r="D1440" i="1"/>
  <c r="E1440" i="1"/>
  <c r="F1440" i="1"/>
  <c r="G1440" i="1"/>
  <c r="H1440" i="1"/>
  <c r="I1440" i="1"/>
  <c r="J1440" i="1"/>
  <c r="M1440" i="1"/>
  <c r="N1440" i="1"/>
  <c r="O1440" i="1"/>
  <c r="P1440" i="1"/>
  <c r="Q1440" i="1"/>
  <c r="R1440" i="1"/>
  <c r="S1440" i="1"/>
  <c r="T1440" i="1"/>
  <c r="U1440" i="1"/>
  <c r="A1441" i="1"/>
  <c r="B1441" i="1"/>
  <c r="C1441" i="1"/>
  <c r="D1441" i="1"/>
  <c r="E1441" i="1"/>
  <c r="F1441" i="1"/>
  <c r="G1441" i="1"/>
  <c r="H1441" i="1"/>
  <c r="I1441" i="1"/>
  <c r="J1441" i="1"/>
  <c r="M1441" i="1"/>
  <c r="N1441" i="1"/>
  <c r="O1441" i="1"/>
  <c r="P1441" i="1"/>
  <c r="Q1441" i="1"/>
  <c r="R1441" i="1"/>
  <c r="S1441" i="1"/>
  <c r="T1441" i="1"/>
  <c r="U1441" i="1"/>
  <c r="A1442" i="1"/>
  <c r="B1442" i="1"/>
  <c r="C1442" i="1"/>
  <c r="D1442" i="1"/>
  <c r="E1442" i="1"/>
  <c r="F1442" i="1"/>
  <c r="G1442" i="1"/>
  <c r="H1442" i="1"/>
  <c r="I1442" i="1"/>
  <c r="J1442" i="1"/>
  <c r="M1442" i="1"/>
  <c r="N1442" i="1"/>
  <c r="O1442" i="1"/>
  <c r="P1442" i="1"/>
  <c r="Q1442" i="1"/>
  <c r="R1442" i="1"/>
  <c r="S1442" i="1"/>
  <c r="U1442" i="1"/>
  <c r="A1371" i="1"/>
  <c r="B1371" i="1"/>
  <c r="C1371" i="1"/>
  <c r="D1371" i="1"/>
  <c r="E1371" i="1"/>
  <c r="F1371" i="1"/>
  <c r="G1371" i="1"/>
  <c r="H1371" i="1"/>
  <c r="I1371" i="1"/>
  <c r="J1371" i="1"/>
  <c r="M1371" i="1"/>
  <c r="N1371" i="1"/>
  <c r="O1371" i="1"/>
  <c r="P1371" i="1"/>
  <c r="Q1371" i="1"/>
  <c r="R1371" i="1"/>
  <c r="S1371" i="1"/>
  <c r="T1371" i="1"/>
  <c r="U1371" i="1"/>
  <c r="A1372" i="1"/>
  <c r="B1372" i="1"/>
  <c r="C1372" i="1"/>
  <c r="D1372" i="1"/>
  <c r="E1372" i="1"/>
  <c r="F1372" i="1"/>
  <c r="G1372" i="1"/>
  <c r="H1372" i="1"/>
  <c r="I1372" i="1"/>
  <c r="J1372" i="1"/>
  <c r="M1372" i="1"/>
  <c r="N1372" i="1"/>
  <c r="O1372" i="1"/>
  <c r="P1372" i="1"/>
  <c r="Q1372" i="1"/>
  <c r="R1372" i="1"/>
  <c r="S1372" i="1"/>
  <c r="T1372" i="1"/>
  <c r="U1372" i="1"/>
  <c r="A1373" i="1"/>
  <c r="B1373" i="1"/>
  <c r="C1373" i="1"/>
  <c r="D1373" i="1"/>
  <c r="E1373" i="1"/>
  <c r="F1373" i="1"/>
  <c r="G1373" i="1"/>
  <c r="H1373" i="1"/>
  <c r="I1373" i="1"/>
  <c r="J1373" i="1"/>
  <c r="M1373" i="1"/>
  <c r="N1373" i="1"/>
  <c r="O1373" i="1"/>
  <c r="P1373" i="1"/>
  <c r="Q1373" i="1"/>
  <c r="R1373" i="1"/>
  <c r="S1373" i="1"/>
  <c r="T1373" i="1"/>
  <c r="U1373" i="1"/>
  <c r="A1302" i="1"/>
  <c r="B1302" i="1"/>
  <c r="C1302" i="1"/>
  <c r="D1302" i="1"/>
  <c r="E1302" i="1"/>
  <c r="F1302" i="1"/>
  <c r="G1302" i="1"/>
  <c r="H1302" i="1"/>
  <c r="I1302" i="1"/>
  <c r="J1302" i="1"/>
  <c r="M1302" i="1"/>
  <c r="N1302" i="1"/>
  <c r="O1302" i="1"/>
  <c r="P1302" i="1"/>
  <c r="Q1302" i="1"/>
  <c r="R1302" i="1"/>
  <c r="S1302" i="1"/>
  <c r="T1302" i="1"/>
  <c r="U1302" i="1"/>
  <c r="A1303" i="1"/>
  <c r="B1303" i="1"/>
  <c r="C1303" i="1"/>
  <c r="D1303" i="1"/>
  <c r="E1303" i="1"/>
  <c r="F1303" i="1"/>
  <c r="G1303" i="1"/>
  <c r="H1303" i="1"/>
  <c r="I1303" i="1"/>
  <c r="J1303" i="1"/>
  <c r="M1303" i="1"/>
  <c r="N1303" i="1"/>
  <c r="O1303" i="1"/>
  <c r="P1303" i="1"/>
  <c r="Q1303" i="1"/>
  <c r="R1303" i="1"/>
  <c r="S1303" i="1"/>
  <c r="T1303" i="1"/>
  <c r="U1303" i="1"/>
  <c r="A1304" i="1"/>
  <c r="B1304" i="1"/>
  <c r="C1304" i="1"/>
  <c r="D1304" i="1"/>
  <c r="E1304" i="1"/>
  <c r="F1304" i="1"/>
  <c r="G1304" i="1"/>
  <c r="H1304" i="1"/>
  <c r="I1304" i="1"/>
  <c r="J1304" i="1"/>
  <c r="M1304" i="1"/>
  <c r="N1304" i="1"/>
  <c r="O1304" i="1"/>
  <c r="P1304" i="1"/>
  <c r="Q1304" i="1"/>
  <c r="R1304" i="1"/>
  <c r="S1304" i="1"/>
  <c r="T1304" i="1"/>
  <c r="U1304" i="1"/>
  <c r="A1308" i="1"/>
  <c r="B1308" i="1"/>
  <c r="C1308" i="1"/>
  <c r="D1308" i="1"/>
  <c r="E1308" i="1"/>
  <c r="F1308" i="1"/>
  <c r="G1308" i="1"/>
  <c r="H1308" i="1"/>
  <c r="I1308" i="1"/>
  <c r="J1308" i="1"/>
  <c r="M1308" i="1"/>
  <c r="N1308" i="1"/>
  <c r="O1308" i="1"/>
  <c r="P1308" i="1"/>
  <c r="Q1308" i="1"/>
  <c r="R1308" i="1"/>
  <c r="S1308" i="1"/>
  <c r="T1308" i="1"/>
  <c r="U1308" i="1"/>
  <c r="A1305" i="1"/>
  <c r="B1305" i="1"/>
  <c r="C1305" i="1"/>
  <c r="D1305" i="1"/>
  <c r="E1305" i="1"/>
  <c r="F1305" i="1"/>
  <c r="G1305" i="1"/>
  <c r="H1305" i="1"/>
  <c r="I1305" i="1"/>
  <c r="J1305" i="1"/>
  <c r="M1305" i="1"/>
  <c r="N1305" i="1"/>
  <c r="O1305" i="1"/>
  <c r="P1305" i="1"/>
  <c r="Q1305" i="1"/>
  <c r="R1305" i="1"/>
  <c r="S1305" i="1"/>
  <c r="T1305" i="1"/>
  <c r="U1305" i="1"/>
  <c r="A1306" i="1"/>
  <c r="B1306" i="1"/>
  <c r="C1306" i="1"/>
  <c r="D1306" i="1"/>
  <c r="E1306" i="1"/>
  <c r="F1306" i="1"/>
  <c r="G1306" i="1"/>
  <c r="H1306" i="1"/>
  <c r="I1306" i="1"/>
  <c r="J1306" i="1"/>
  <c r="M1306" i="1"/>
  <c r="N1306" i="1"/>
  <c r="O1306" i="1"/>
  <c r="P1306" i="1"/>
  <c r="Q1306" i="1"/>
  <c r="R1306" i="1"/>
  <c r="S1306" i="1"/>
  <c r="T1306" i="1"/>
  <c r="U1306" i="1"/>
  <c r="A1307" i="1"/>
  <c r="B1307" i="1"/>
  <c r="C1307" i="1"/>
  <c r="D1307" i="1"/>
  <c r="E1307" i="1"/>
  <c r="F1307" i="1"/>
  <c r="G1307" i="1"/>
  <c r="H1307" i="1"/>
  <c r="I1307" i="1"/>
  <c r="J1307" i="1"/>
  <c r="M1307" i="1"/>
  <c r="N1307" i="1"/>
  <c r="O1307" i="1"/>
  <c r="P1307" i="1"/>
  <c r="Q1307" i="1"/>
  <c r="R1307" i="1"/>
  <c r="S1307" i="1"/>
  <c r="T1307" i="1"/>
  <c r="U1307" i="1"/>
  <c r="A1137" i="1"/>
  <c r="B1137" i="1"/>
  <c r="C1137" i="1"/>
  <c r="D1137" i="1"/>
  <c r="E1137" i="1"/>
  <c r="F1137" i="1"/>
  <c r="G1137" i="1"/>
  <c r="H1137" i="1"/>
  <c r="I1137" i="1"/>
  <c r="J1137" i="1"/>
  <c r="M1137" i="1"/>
  <c r="N1137" i="1"/>
  <c r="O1137" i="1"/>
  <c r="P1137" i="1"/>
  <c r="Q1137" i="1"/>
  <c r="R1137" i="1"/>
  <c r="S1137" i="1"/>
  <c r="T1137" i="1"/>
  <c r="U1137" i="1"/>
  <c r="A1134" i="1"/>
  <c r="B1134" i="1"/>
  <c r="C1134" i="1"/>
  <c r="D1134" i="1"/>
  <c r="E1134" i="1"/>
  <c r="F1134" i="1"/>
  <c r="G1134" i="1"/>
  <c r="H1134" i="1"/>
  <c r="I1134" i="1"/>
  <c r="J1134" i="1"/>
  <c r="M1134" i="1"/>
  <c r="N1134" i="1"/>
  <c r="O1134" i="1"/>
  <c r="P1134" i="1"/>
  <c r="Q1134" i="1"/>
  <c r="R1134" i="1"/>
  <c r="S1134" i="1"/>
  <c r="T1134" i="1"/>
  <c r="U1134" i="1"/>
  <c r="A1135" i="1"/>
  <c r="B1135" i="1"/>
  <c r="C1135" i="1"/>
  <c r="D1135" i="1"/>
  <c r="E1135" i="1"/>
  <c r="F1135" i="1"/>
  <c r="G1135" i="1"/>
  <c r="H1135" i="1"/>
  <c r="I1135" i="1"/>
  <c r="J1135" i="1"/>
  <c r="M1135" i="1"/>
  <c r="N1135" i="1"/>
  <c r="O1135" i="1"/>
  <c r="P1135" i="1"/>
  <c r="Q1135" i="1"/>
  <c r="R1135" i="1"/>
  <c r="S1135" i="1"/>
  <c r="T1135" i="1"/>
  <c r="U1135" i="1"/>
  <c r="A1133" i="1"/>
  <c r="B1133" i="1"/>
  <c r="C1133" i="1"/>
  <c r="D1133" i="1"/>
  <c r="E1133" i="1"/>
  <c r="F1133" i="1"/>
  <c r="G1133" i="1"/>
  <c r="H1133" i="1"/>
  <c r="I1133" i="1"/>
  <c r="J1133" i="1"/>
  <c r="M1133" i="1"/>
  <c r="N1133" i="1"/>
  <c r="O1133" i="1"/>
  <c r="Q1133" i="1"/>
  <c r="R1133" i="1"/>
  <c r="S1133" i="1"/>
  <c r="T1133" i="1"/>
  <c r="U1133" i="1"/>
  <c r="A1136" i="1"/>
  <c r="B1136" i="1"/>
  <c r="C1136" i="1"/>
  <c r="D1136" i="1"/>
  <c r="E1136" i="1"/>
  <c r="F1136" i="1"/>
  <c r="G1136" i="1"/>
  <c r="H1136" i="1"/>
  <c r="I1136" i="1"/>
  <c r="J1136" i="1"/>
  <c r="M1136" i="1"/>
  <c r="N1136" i="1"/>
  <c r="O1136" i="1"/>
  <c r="P1136" i="1"/>
  <c r="Q1136" i="1"/>
  <c r="R1136" i="1"/>
  <c r="S1136" i="1"/>
  <c r="T1136" i="1"/>
  <c r="U1136" i="1"/>
  <c r="A1056" i="1"/>
  <c r="B1056" i="1"/>
  <c r="C1056" i="1"/>
  <c r="D1056" i="1"/>
  <c r="E1056" i="1"/>
  <c r="F1056" i="1"/>
  <c r="G1056" i="1"/>
  <c r="H1056" i="1"/>
  <c r="I1056" i="1"/>
  <c r="J1056" i="1"/>
  <c r="M1056" i="1"/>
  <c r="N1056" i="1"/>
  <c r="O1056" i="1"/>
  <c r="P1056" i="1"/>
  <c r="Q1056" i="1"/>
  <c r="R1056" i="1"/>
  <c r="S1056" i="1"/>
  <c r="T1056" i="1"/>
  <c r="U1056" i="1"/>
  <c r="A988" i="1"/>
  <c r="B988" i="1"/>
  <c r="C988" i="1"/>
  <c r="D988" i="1"/>
  <c r="E988" i="1"/>
  <c r="F988" i="1"/>
  <c r="G988" i="1"/>
  <c r="H988" i="1"/>
  <c r="I988" i="1"/>
  <c r="J988" i="1"/>
  <c r="M988" i="1"/>
  <c r="N988" i="1"/>
  <c r="O988" i="1"/>
  <c r="Q988" i="1"/>
  <c r="R988" i="1"/>
  <c r="S988" i="1"/>
  <c r="T988" i="1"/>
  <c r="U988" i="1"/>
  <c r="A989" i="1"/>
  <c r="B989" i="1"/>
  <c r="C989" i="1"/>
  <c r="D989" i="1"/>
  <c r="E989" i="1"/>
  <c r="F989" i="1"/>
  <c r="G989" i="1"/>
  <c r="H989" i="1"/>
  <c r="I989" i="1"/>
  <c r="J989" i="1"/>
  <c r="M989" i="1"/>
  <c r="N989" i="1"/>
  <c r="O989" i="1"/>
  <c r="P989" i="1"/>
  <c r="Q989" i="1"/>
  <c r="R989" i="1"/>
  <c r="S989" i="1"/>
  <c r="T989" i="1"/>
  <c r="U989" i="1"/>
  <c r="A987" i="1"/>
  <c r="B987" i="1"/>
  <c r="C987" i="1"/>
  <c r="D987" i="1"/>
  <c r="E987" i="1"/>
  <c r="F987" i="1"/>
  <c r="G987" i="1"/>
  <c r="H987" i="1"/>
  <c r="I987" i="1"/>
  <c r="J987" i="1"/>
  <c r="M987" i="1"/>
  <c r="N987" i="1"/>
  <c r="O987" i="1"/>
  <c r="Q987" i="1"/>
  <c r="R987" i="1"/>
  <c r="S987" i="1"/>
  <c r="T987" i="1"/>
  <c r="U987" i="1"/>
  <c r="A990" i="1"/>
  <c r="B990" i="1"/>
  <c r="C990" i="1"/>
  <c r="D990" i="1"/>
  <c r="E990" i="1"/>
  <c r="F990" i="1"/>
  <c r="G990" i="1"/>
  <c r="H990" i="1"/>
  <c r="I990" i="1"/>
  <c r="J990" i="1"/>
  <c r="M990" i="1"/>
  <c r="N990" i="1"/>
  <c r="O990" i="1"/>
  <c r="P990" i="1"/>
  <c r="Q990" i="1"/>
  <c r="R990" i="1"/>
  <c r="S990" i="1"/>
  <c r="T990" i="1"/>
  <c r="U990" i="1"/>
  <c r="A991" i="1"/>
  <c r="B991" i="1"/>
  <c r="C991" i="1"/>
  <c r="D991" i="1"/>
  <c r="E991" i="1"/>
  <c r="F991" i="1"/>
  <c r="G991" i="1"/>
  <c r="H991" i="1"/>
  <c r="I991" i="1"/>
  <c r="J991" i="1"/>
  <c r="M991" i="1"/>
  <c r="O991" i="1"/>
  <c r="P991" i="1"/>
  <c r="Q991" i="1"/>
  <c r="R991" i="1"/>
  <c r="S991" i="1"/>
  <c r="T991" i="1"/>
  <c r="U991" i="1"/>
  <c r="A992" i="1"/>
  <c r="B992" i="1"/>
  <c r="C992" i="1"/>
  <c r="D992" i="1"/>
  <c r="E992" i="1"/>
  <c r="F992" i="1"/>
  <c r="G992" i="1"/>
  <c r="H992" i="1"/>
  <c r="I992" i="1"/>
  <c r="J992" i="1"/>
  <c r="M992" i="1"/>
  <c r="N992" i="1"/>
  <c r="O992" i="1"/>
  <c r="P992" i="1"/>
  <c r="Q992" i="1"/>
  <c r="R992" i="1"/>
  <c r="S992" i="1"/>
  <c r="T992" i="1"/>
  <c r="U992" i="1"/>
  <c r="A906" i="1"/>
  <c r="B906" i="1"/>
  <c r="C906" i="1"/>
  <c r="D906" i="1"/>
  <c r="E906" i="1"/>
  <c r="F906" i="1"/>
  <c r="G906" i="1"/>
  <c r="H906" i="1"/>
  <c r="I906" i="1"/>
  <c r="J906" i="1"/>
  <c r="M906" i="1"/>
  <c r="N906" i="1"/>
  <c r="O906" i="1"/>
  <c r="P906" i="1"/>
  <c r="Q906" i="1"/>
  <c r="R906" i="1"/>
  <c r="S906" i="1"/>
  <c r="T906" i="1"/>
  <c r="U906" i="1"/>
  <c r="A908" i="1"/>
  <c r="B908" i="1"/>
  <c r="C908" i="1"/>
  <c r="D908" i="1"/>
  <c r="E908" i="1"/>
  <c r="F908" i="1"/>
  <c r="G908" i="1"/>
  <c r="H908" i="1"/>
  <c r="I908" i="1"/>
  <c r="J908" i="1"/>
  <c r="M908" i="1"/>
  <c r="N908" i="1"/>
  <c r="O908" i="1"/>
  <c r="P908" i="1"/>
  <c r="Q908" i="1"/>
  <c r="R908" i="1"/>
  <c r="S908" i="1"/>
  <c r="T908" i="1"/>
  <c r="U908" i="1"/>
  <c r="A907" i="1"/>
  <c r="B907" i="1"/>
  <c r="C907" i="1"/>
  <c r="D907" i="1"/>
  <c r="E907" i="1"/>
  <c r="F907" i="1"/>
  <c r="G907" i="1"/>
  <c r="H907" i="1"/>
  <c r="I907" i="1"/>
  <c r="J907" i="1"/>
  <c r="M907" i="1"/>
  <c r="N907" i="1"/>
  <c r="O907" i="1"/>
  <c r="P907" i="1"/>
  <c r="Q907" i="1"/>
  <c r="R907" i="1"/>
  <c r="S907" i="1"/>
  <c r="T907" i="1"/>
  <c r="U907" i="1"/>
  <c r="A909" i="1"/>
  <c r="B909" i="1"/>
  <c r="C909" i="1"/>
  <c r="D909" i="1"/>
  <c r="E909" i="1"/>
  <c r="F909" i="1"/>
  <c r="G909" i="1"/>
  <c r="H909" i="1"/>
  <c r="I909" i="1"/>
  <c r="J909" i="1"/>
  <c r="M909" i="1"/>
  <c r="N909" i="1"/>
  <c r="O909" i="1"/>
  <c r="P909" i="1"/>
  <c r="Q909" i="1"/>
  <c r="R909" i="1"/>
  <c r="S909" i="1"/>
  <c r="T909" i="1"/>
  <c r="U909" i="1"/>
  <c r="A843" i="1"/>
  <c r="B843" i="1"/>
  <c r="C843" i="1"/>
  <c r="D843" i="1"/>
  <c r="E843" i="1"/>
  <c r="F843" i="1"/>
  <c r="G843" i="1"/>
  <c r="H843" i="1"/>
  <c r="I843" i="1"/>
  <c r="J843" i="1"/>
  <c r="M843" i="1"/>
  <c r="N843" i="1"/>
  <c r="O843" i="1"/>
  <c r="P843" i="1"/>
  <c r="Q843" i="1"/>
  <c r="R843" i="1"/>
  <c r="S843" i="1"/>
  <c r="T843" i="1"/>
  <c r="U843" i="1"/>
  <c r="A844" i="1"/>
  <c r="B844" i="1"/>
  <c r="C844" i="1"/>
  <c r="D844" i="1"/>
  <c r="E844" i="1"/>
  <c r="F844" i="1"/>
  <c r="G844" i="1"/>
  <c r="H844" i="1"/>
  <c r="I844" i="1"/>
  <c r="J844" i="1"/>
  <c r="M844" i="1"/>
  <c r="N844" i="1"/>
  <c r="O844" i="1"/>
  <c r="P844" i="1"/>
  <c r="Q844" i="1"/>
  <c r="R844" i="1"/>
  <c r="S844" i="1"/>
  <c r="T844" i="1"/>
  <c r="U844" i="1"/>
  <c r="A849" i="1"/>
  <c r="B849" i="1"/>
  <c r="C849" i="1"/>
  <c r="D849" i="1"/>
  <c r="E849" i="1"/>
  <c r="F849" i="1"/>
  <c r="G849" i="1"/>
  <c r="H849" i="1"/>
  <c r="I849" i="1"/>
  <c r="J849" i="1"/>
  <c r="M849" i="1"/>
  <c r="N849" i="1"/>
  <c r="O849" i="1"/>
  <c r="P849" i="1"/>
  <c r="Q849" i="1"/>
  <c r="R849" i="1"/>
  <c r="S849" i="1"/>
  <c r="T849" i="1"/>
  <c r="U849" i="1"/>
  <c r="A845" i="1"/>
  <c r="B845" i="1"/>
  <c r="C845" i="1"/>
  <c r="D845" i="1"/>
  <c r="E845" i="1"/>
  <c r="F845" i="1"/>
  <c r="G845" i="1"/>
  <c r="H845" i="1"/>
  <c r="I845" i="1"/>
  <c r="J845" i="1"/>
  <c r="M845" i="1"/>
  <c r="N845" i="1"/>
  <c r="O845" i="1"/>
  <c r="P845" i="1"/>
  <c r="Q845" i="1"/>
  <c r="R845" i="1"/>
  <c r="S845" i="1"/>
  <c r="T845" i="1"/>
  <c r="U845" i="1"/>
  <c r="A846" i="1"/>
  <c r="B846" i="1"/>
  <c r="C846" i="1"/>
  <c r="D846" i="1"/>
  <c r="E846" i="1"/>
  <c r="F846" i="1"/>
  <c r="G846" i="1"/>
  <c r="H846" i="1"/>
  <c r="I846" i="1"/>
  <c r="J846" i="1"/>
  <c r="M846" i="1"/>
  <c r="N846" i="1"/>
  <c r="O846" i="1"/>
  <c r="P846" i="1"/>
  <c r="Q846" i="1"/>
  <c r="R846" i="1"/>
  <c r="S846" i="1"/>
  <c r="T846" i="1"/>
  <c r="U846" i="1"/>
  <c r="A847" i="1"/>
  <c r="B847" i="1"/>
  <c r="C847" i="1"/>
  <c r="D847" i="1"/>
  <c r="E847" i="1"/>
  <c r="F847" i="1"/>
  <c r="G847" i="1"/>
  <c r="H847" i="1"/>
  <c r="I847" i="1"/>
  <c r="J847" i="1"/>
  <c r="M847" i="1"/>
  <c r="N847" i="1"/>
  <c r="O847" i="1"/>
  <c r="P847" i="1"/>
  <c r="Q847" i="1"/>
  <c r="R847" i="1"/>
  <c r="S847" i="1"/>
  <c r="T847" i="1"/>
  <c r="U847" i="1"/>
  <c r="A848" i="1"/>
  <c r="B848" i="1"/>
  <c r="C848" i="1"/>
  <c r="D848" i="1"/>
  <c r="E848" i="1"/>
  <c r="F848" i="1"/>
  <c r="G848" i="1"/>
  <c r="H848" i="1"/>
  <c r="I848" i="1"/>
  <c r="J848" i="1"/>
  <c r="M848" i="1"/>
  <c r="N848" i="1"/>
  <c r="O848" i="1"/>
  <c r="P848" i="1"/>
  <c r="Q848" i="1"/>
  <c r="R848" i="1"/>
  <c r="S848" i="1"/>
  <c r="T848" i="1"/>
  <c r="U848" i="1"/>
  <c r="A686" i="1"/>
  <c r="B686" i="1"/>
  <c r="C686" i="1"/>
  <c r="D686" i="1"/>
  <c r="E686" i="1"/>
  <c r="F686" i="1"/>
  <c r="G686" i="1"/>
  <c r="H686" i="1"/>
  <c r="I686" i="1"/>
  <c r="J686" i="1"/>
  <c r="M686" i="1"/>
  <c r="N686" i="1"/>
  <c r="O686" i="1"/>
  <c r="P686" i="1"/>
  <c r="Q686" i="1"/>
  <c r="R686" i="1"/>
  <c r="S686" i="1"/>
  <c r="T686" i="1"/>
  <c r="U686" i="1"/>
  <c r="A687" i="1"/>
  <c r="B687" i="1"/>
  <c r="C687" i="1"/>
  <c r="D687" i="1"/>
  <c r="E687" i="1"/>
  <c r="F687" i="1"/>
  <c r="G687" i="1"/>
  <c r="H687" i="1"/>
  <c r="I687" i="1"/>
  <c r="J687" i="1"/>
  <c r="M687" i="1"/>
  <c r="N687" i="1"/>
  <c r="O687" i="1"/>
  <c r="P687" i="1"/>
  <c r="Q687" i="1"/>
  <c r="R687" i="1"/>
  <c r="S687" i="1"/>
  <c r="T687" i="1"/>
  <c r="U687" i="1"/>
  <c r="A688" i="1"/>
  <c r="B688" i="1"/>
  <c r="C688" i="1"/>
  <c r="D688" i="1"/>
  <c r="E688" i="1"/>
  <c r="F688" i="1"/>
  <c r="G688" i="1"/>
  <c r="H688" i="1"/>
  <c r="I688" i="1"/>
  <c r="J688" i="1"/>
  <c r="M688" i="1"/>
  <c r="N688" i="1"/>
  <c r="O688" i="1"/>
  <c r="P688" i="1"/>
  <c r="Q688" i="1"/>
  <c r="R688" i="1"/>
  <c r="S688" i="1"/>
  <c r="T688" i="1"/>
  <c r="U688" i="1"/>
  <c r="A622" i="1"/>
  <c r="B622" i="1"/>
  <c r="C622" i="1"/>
  <c r="D622" i="1"/>
  <c r="E622" i="1"/>
  <c r="F622" i="1"/>
  <c r="G622" i="1"/>
  <c r="H622" i="1"/>
  <c r="I622" i="1"/>
  <c r="J622" i="1"/>
  <c r="M622" i="1"/>
  <c r="N622" i="1"/>
  <c r="O622" i="1"/>
  <c r="P622" i="1"/>
  <c r="Q622" i="1"/>
  <c r="R622" i="1"/>
  <c r="S622" i="1"/>
  <c r="T622" i="1"/>
  <c r="U622" i="1"/>
  <c r="A623" i="1"/>
  <c r="B623" i="1"/>
  <c r="C623" i="1"/>
  <c r="D623" i="1"/>
  <c r="E623" i="1"/>
  <c r="F623" i="1"/>
  <c r="G623" i="1"/>
  <c r="H623" i="1"/>
  <c r="I623" i="1"/>
  <c r="J623" i="1"/>
  <c r="M623" i="1"/>
  <c r="N623" i="1"/>
  <c r="O623" i="1"/>
  <c r="P623" i="1"/>
  <c r="Q623" i="1"/>
  <c r="R623" i="1"/>
  <c r="S623" i="1"/>
  <c r="T623" i="1"/>
  <c r="U623" i="1"/>
  <c r="A624" i="1"/>
  <c r="B624" i="1"/>
  <c r="C624" i="1"/>
  <c r="D624" i="1"/>
  <c r="E624" i="1"/>
  <c r="F624" i="1"/>
  <c r="G624" i="1"/>
  <c r="H624" i="1"/>
  <c r="I624" i="1"/>
  <c r="J624" i="1"/>
  <c r="M624" i="1"/>
  <c r="N624" i="1"/>
  <c r="O624" i="1"/>
  <c r="P624" i="1"/>
  <c r="Q624" i="1"/>
  <c r="R624" i="1"/>
  <c r="S624" i="1"/>
  <c r="T624" i="1"/>
  <c r="U624" i="1"/>
  <c r="A625" i="1"/>
  <c r="B625" i="1"/>
  <c r="C625" i="1"/>
  <c r="D625" i="1"/>
  <c r="E625" i="1"/>
  <c r="F625" i="1"/>
  <c r="G625" i="1"/>
  <c r="H625" i="1"/>
  <c r="I625" i="1"/>
  <c r="J625" i="1"/>
  <c r="M625" i="1"/>
  <c r="N625" i="1"/>
  <c r="O625" i="1"/>
  <c r="P625" i="1"/>
  <c r="Q625" i="1"/>
  <c r="R625" i="1"/>
  <c r="S625" i="1"/>
  <c r="T625" i="1"/>
  <c r="U625" i="1"/>
  <c r="A564" i="1"/>
  <c r="B564" i="1"/>
  <c r="C564" i="1"/>
  <c r="D564" i="1"/>
  <c r="E564" i="1"/>
  <c r="F564" i="1"/>
  <c r="G564" i="1"/>
  <c r="H564" i="1"/>
  <c r="I564" i="1"/>
  <c r="J564" i="1"/>
  <c r="M564" i="1"/>
  <c r="N564" i="1"/>
  <c r="O564" i="1"/>
  <c r="Q564" i="1"/>
  <c r="R564" i="1"/>
  <c r="S564" i="1"/>
  <c r="T564" i="1"/>
  <c r="U564" i="1"/>
  <c r="A565" i="1"/>
  <c r="B565" i="1"/>
  <c r="C565" i="1"/>
  <c r="D565" i="1"/>
  <c r="E565" i="1"/>
  <c r="F565" i="1"/>
  <c r="G565" i="1"/>
  <c r="H565" i="1"/>
  <c r="I565" i="1"/>
  <c r="J565" i="1"/>
  <c r="M565" i="1"/>
  <c r="N565" i="1"/>
  <c r="O565" i="1"/>
  <c r="P565" i="1"/>
  <c r="Q565" i="1"/>
  <c r="R565" i="1"/>
  <c r="S565" i="1"/>
  <c r="T565" i="1"/>
  <c r="U565" i="1"/>
  <c r="A498" i="1"/>
  <c r="B498" i="1"/>
  <c r="C498" i="1"/>
  <c r="D498" i="1"/>
  <c r="E498" i="1"/>
  <c r="F498" i="1"/>
  <c r="G498" i="1"/>
  <c r="H498" i="1"/>
  <c r="I498" i="1"/>
  <c r="J498" i="1"/>
  <c r="M498" i="1"/>
  <c r="N498" i="1"/>
  <c r="O498" i="1"/>
  <c r="P498" i="1"/>
  <c r="Q498" i="1"/>
  <c r="R498" i="1"/>
  <c r="S498" i="1"/>
  <c r="T498" i="1"/>
  <c r="U498" i="1"/>
  <c r="A499" i="1"/>
  <c r="B499" i="1"/>
  <c r="C499" i="1"/>
  <c r="D499" i="1"/>
  <c r="E499" i="1"/>
  <c r="F499" i="1"/>
  <c r="G499" i="1"/>
  <c r="H499" i="1"/>
  <c r="I499" i="1"/>
  <c r="J499" i="1"/>
  <c r="M499" i="1"/>
  <c r="N499" i="1"/>
  <c r="O499" i="1"/>
  <c r="P499" i="1"/>
  <c r="Q499" i="1"/>
  <c r="R499" i="1"/>
  <c r="S499" i="1"/>
  <c r="T499" i="1"/>
  <c r="U499" i="1"/>
  <c r="A500" i="1"/>
  <c r="B500" i="1"/>
  <c r="C500" i="1"/>
  <c r="D500" i="1"/>
  <c r="E500" i="1"/>
  <c r="F500" i="1"/>
  <c r="G500" i="1"/>
  <c r="H500" i="1"/>
  <c r="I500" i="1"/>
  <c r="J500" i="1"/>
  <c r="M500" i="1"/>
  <c r="N500" i="1"/>
  <c r="O500" i="1"/>
  <c r="P500" i="1"/>
  <c r="Q500" i="1"/>
  <c r="R500" i="1"/>
  <c r="S500" i="1"/>
  <c r="U500" i="1"/>
  <c r="A501" i="1"/>
  <c r="B501" i="1"/>
  <c r="C501" i="1"/>
  <c r="D501" i="1"/>
  <c r="E501" i="1"/>
  <c r="F501" i="1"/>
  <c r="G501" i="1"/>
  <c r="H501" i="1"/>
  <c r="I501" i="1"/>
  <c r="J501" i="1"/>
  <c r="M501" i="1"/>
  <c r="N501" i="1"/>
  <c r="O501" i="1"/>
  <c r="P501" i="1"/>
  <c r="Q501" i="1"/>
  <c r="R501" i="1"/>
  <c r="S501" i="1"/>
  <c r="T501" i="1"/>
  <c r="U501" i="1"/>
  <c r="A502" i="1"/>
  <c r="B502" i="1"/>
  <c r="C502" i="1"/>
  <c r="D502" i="1"/>
  <c r="E502" i="1"/>
  <c r="F502" i="1"/>
  <c r="G502" i="1"/>
  <c r="H502" i="1"/>
  <c r="I502" i="1"/>
  <c r="J502" i="1"/>
  <c r="M502" i="1"/>
  <c r="N502" i="1"/>
  <c r="O502" i="1"/>
  <c r="P502" i="1"/>
  <c r="Q502" i="1"/>
  <c r="R502" i="1"/>
  <c r="S502" i="1"/>
  <c r="T502" i="1"/>
  <c r="U502" i="1"/>
  <c r="A503" i="1"/>
  <c r="B503" i="1"/>
  <c r="C503" i="1"/>
  <c r="D503" i="1"/>
  <c r="E503" i="1"/>
  <c r="F503" i="1"/>
  <c r="G503" i="1"/>
  <c r="H503" i="1"/>
  <c r="I503" i="1"/>
  <c r="J503" i="1"/>
  <c r="M503" i="1"/>
  <c r="N503" i="1"/>
  <c r="O503" i="1"/>
  <c r="P503" i="1"/>
  <c r="Q503" i="1"/>
  <c r="R503" i="1"/>
  <c r="S503" i="1"/>
  <c r="T503" i="1"/>
  <c r="U503" i="1"/>
  <c r="A431" i="1"/>
  <c r="B431" i="1"/>
  <c r="C431" i="1"/>
  <c r="D431" i="1"/>
  <c r="E431" i="1"/>
  <c r="F431" i="1"/>
  <c r="G431" i="1"/>
  <c r="H431" i="1"/>
  <c r="I431" i="1"/>
  <c r="J431" i="1"/>
  <c r="M431" i="1"/>
  <c r="N431" i="1"/>
  <c r="O431" i="1"/>
  <c r="P431" i="1"/>
  <c r="Q431" i="1"/>
  <c r="R431" i="1"/>
  <c r="S431" i="1"/>
  <c r="T431" i="1"/>
  <c r="U431" i="1"/>
  <c r="A430" i="1"/>
  <c r="B430" i="1"/>
  <c r="C430" i="1"/>
  <c r="D430" i="1"/>
  <c r="E430" i="1"/>
  <c r="F430" i="1"/>
  <c r="G430" i="1"/>
  <c r="H430" i="1"/>
  <c r="I430" i="1"/>
  <c r="J430" i="1"/>
  <c r="M430" i="1"/>
  <c r="N430" i="1"/>
  <c r="O430" i="1"/>
  <c r="Q430" i="1"/>
  <c r="R430" i="1"/>
  <c r="S430" i="1"/>
  <c r="T430" i="1"/>
  <c r="U430" i="1"/>
  <c r="A432" i="1"/>
  <c r="B432" i="1"/>
  <c r="C432" i="1"/>
  <c r="D432" i="1"/>
  <c r="E432" i="1"/>
  <c r="F432" i="1"/>
  <c r="G432" i="1"/>
  <c r="H432" i="1"/>
  <c r="I432" i="1"/>
  <c r="J432" i="1"/>
  <c r="M432" i="1"/>
  <c r="N432" i="1"/>
  <c r="O432" i="1"/>
  <c r="P432" i="1"/>
  <c r="Q432" i="1"/>
  <c r="R432" i="1"/>
  <c r="S432" i="1"/>
  <c r="T432" i="1"/>
  <c r="U432" i="1"/>
  <c r="A433" i="1"/>
  <c r="B433" i="1"/>
  <c r="C433" i="1"/>
  <c r="D433" i="1"/>
  <c r="E433" i="1"/>
  <c r="F433" i="1"/>
  <c r="G433" i="1"/>
  <c r="H433" i="1"/>
  <c r="I433" i="1"/>
  <c r="J433" i="1"/>
  <c r="M433" i="1"/>
  <c r="N433" i="1"/>
  <c r="O433" i="1"/>
  <c r="P433" i="1"/>
  <c r="Q433" i="1"/>
  <c r="R433" i="1"/>
  <c r="S433" i="1"/>
  <c r="T433" i="1"/>
  <c r="U433" i="1"/>
  <c r="A225" i="1"/>
  <c r="B225" i="1"/>
  <c r="C225" i="1"/>
  <c r="D225" i="1"/>
  <c r="E225" i="1"/>
  <c r="F225" i="1"/>
  <c r="G225" i="1"/>
  <c r="H225" i="1"/>
  <c r="I225" i="1"/>
  <c r="J225" i="1"/>
  <c r="M225" i="1"/>
  <c r="N225" i="1"/>
  <c r="O225" i="1"/>
  <c r="P225" i="1"/>
  <c r="Q225" i="1"/>
  <c r="R225" i="1"/>
  <c r="S225" i="1"/>
  <c r="T225" i="1"/>
  <c r="U225" i="1"/>
  <c r="A226" i="1"/>
  <c r="B226" i="1"/>
  <c r="C226" i="1"/>
  <c r="D226" i="1"/>
  <c r="E226" i="1"/>
  <c r="F226" i="1"/>
  <c r="G226" i="1"/>
  <c r="H226" i="1"/>
  <c r="I226" i="1"/>
  <c r="J226" i="1"/>
  <c r="M226" i="1"/>
  <c r="N226" i="1"/>
  <c r="O226" i="1"/>
  <c r="P226" i="1"/>
  <c r="Q226" i="1"/>
  <c r="R226" i="1"/>
  <c r="S226" i="1"/>
  <c r="T226" i="1"/>
  <c r="U226" i="1"/>
  <c r="A227" i="1"/>
  <c r="B227" i="1"/>
  <c r="C227" i="1"/>
  <c r="D227" i="1"/>
  <c r="E227" i="1"/>
  <c r="F227" i="1"/>
  <c r="G227" i="1"/>
  <c r="H227" i="1"/>
  <c r="I227" i="1"/>
  <c r="J227" i="1"/>
  <c r="M227" i="1"/>
  <c r="N227" i="1"/>
  <c r="O227" i="1"/>
  <c r="P227" i="1"/>
  <c r="Q227" i="1"/>
  <c r="R227" i="1"/>
  <c r="S227" i="1"/>
  <c r="T227" i="1"/>
  <c r="U227" i="1"/>
  <c r="A236" i="1"/>
  <c r="B236" i="1"/>
  <c r="C236" i="1"/>
  <c r="D236" i="1"/>
  <c r="E236" i="1"/>
  <c r="F236" i="1"/>
  <c r="G236" i="1"/>
  <c r="H236" i="1"/>
  <c r="I236" i="1"/>
  <c r="J236" i="1"/>
  <c r="M236" i="1"/>
  <c r="N236" i="1"/>
  <c r="O236" i="1"/>
  <c r="P236" i="1"/>
  <c r="Q236" i="1"/>
  <c r="R236" i="1"/>
  <c r="S236" i="1"/>
  <c r="T236" i="1"/>
  <c r="U236" i="1"/>
  <c r="A228" i="1"/>
  <c r="B228" i="1"/>
  <c r="C228" i="1"/>
  <c r="D228" i="1"/>
  <c r="E228" i="1"/>
  <c r="F228" i="1"/>
  <c r="G228" i="1"/>
  <c r="H228" i="1"/>
  <c r="I228" i="1"/>
  <c r="J228" i="1"/>
  <c r="M228" i="1"/>
  <c r="N228" i="1"/>
  <c r="O228" i="1"/>
  <c r="P228" i="1"/>
  <c r="Q228" i="1"/>
  <c r="R228" i="1"/>
  <c r="S228" i="1"/>
  <c r="T228" i="1"/>
  <c r="U228" i="1"/>
  <c r="A229" i="1"/>
  <c r="B229" i="1"/>
  <c r="C229" i="1"/>
  <c r="D229" i="1"/>
  <c r="E229" i="1"/>
  <c r="F229" i="1"/>
  <c r="G229" i="1"/>
  <c r="H229" i="1"/>
  <c r="I229" i="1"/>
  <c r="J229" i="1"/>
  <c r="M229" i="1"/>
  <c r="N229" i="1"/>
  <c r="O229" i="1"/>
  <c r="P229" i="1"/>
  <c r="Q229" i="1"/>
  <c r="R229" i="1"/>
  <c r="S229" i="1"/>
  <c r="T229" i="1"/>
  <c r="U229" i="1"/>
  <c r="A230" i="1"/>
  <c r="B230" i="1"/>
  <c r="C230" i="1"/>
  <c r="D230" i="1"/>
  <c r="E230" i="1"/>
  <c r="F230" i="1"/>
  <c r="G230" i="1"/>
  <c r="H230" i="1"/>
  <c r="I230" i="1"/>
  <c r="J230" i="1"/>
  <c r="M230" i="1"/>
  <c r="N230" i="1"/>
  <c r="O230" i="1"/>
  <c r="P230" i="1"/>
  <c r="Q230" i="1"/>
  <c r="R230" i="1"/>
  <c r="S230" i="1"/>
  <c r="T230" i="1"/>
  <c r="U230" i="1"/>
  <c r="A231" i="1"/>
  <c r="B231" i="1"/>
  <c r="C231" i="1"/>
  <c r="D231" i="1"/>
  <c r="E231" i="1"/>
  <c r="F231" i="1"/>
  <c r="G231" i="1"/>
  <c r="H231" i="1"/>
  <c r="I231" i="1"/>
  <c r="J231" i="1"/>
  <c r="M231" i="1"/>
  <c r="N231" i="1"/>
  <c r="O231" i="1"/>
  <c r="P231" i="1"/>
  <c r="Q231" i="1"/>
  <c r="R231" i="1"/>
  <c r="S231" i="1"/>
  <c r="T231" i="1"/>
  <c r="U231" i="1"/>
  <c r="A232" i="1"/>
  <c r="B232" i="1"/>
  <c r="C232" i="1"/>
  <c r="D232" i="1"/>
  <c r="E232" i="1"/>
  <c r="F232" i="1"/>
  <c r="G232" i="1"/>
  <c r="H232" i="1"/>
  <c r="I232" i="1"/>
  <c r="J232" i="1"/>
  <c r="M232" i="1"/>
  <c r="N232" i="1"/>
  <c r="O232" i="1"/>
  <c r="P232" i="1"/>
  <c r="Q232" i="1"/>
  <c r="R232" i="1"/>
  <c r="S232" i="1"/>
  <c r="T232" i="1"/>
  <c r="U232" i="1"/>
  <c r="A233" i="1"/>
  <c r="B233" i="1"/>
  <c r="C233" i="1"/>
  <c r="D233" i="1"/>
  <c r="E233" i="1"/>
  <c r="F233" i="1"/>
  <c r="G233" i="1"/>
  <c r="H233" i="1"/>
  <c r="I233" i="1"/>
  <c r="J233" i="1"/>
  <c r="M233" i="1"/>
  <c r="N233" i="1"/>
  <c r="O233" i="1"/>
  <c r="P233" i="1"/>
  <c r="Q233" i="1"/>
  <c r="R233" i="1"/>
  <c r="S233" i="1"/>
  <c r="T233" i="1"/>
  <c r="U233" i="1"/>
  <c r="A234" i="1"/>
  <c r="B234" i="1"/>
  <c r="C234" i="1"/>
  <c r="D234" i="1"/>
  <c r="E234" i="1"/>
  <c r="F234" i="1"/>
  <c r="G234" i="1"/>
  <c r="H234" i="1"/>
  <c r="I234" i="1"/>
  <c r="J234" i="1"/>
  <c r="M234" i="1"/>
  <c r="N234" i="1"/>
  <c r="O234" i="1"/>
  <c r="P234" i="1"/>
  <c r="Q234" i="1"/>
  <c r="R234" i="1"/>
  <c r="S234" i="1"/>
  <c r="T234" i="1"/>
  <c r="U234" i="1"/>
  <c r="A235" i="1"/>
  <c r="B235" i="1"/>
  <c r="C235" i="1"/>
  <c r="D235" i="1"/>
  <c r="E235" i="1"/>
  <c r="F235" i="1"/>
  <c r="G235" i="1"/>
  <c r="H235" i="1"/>
  <c r="I235" i="1"/>
  <c r="J235" i="1"/>
  <c r="M235" i="1"/>
  <c r="N235" i="1"/>
  <c r="O235" i="1"/>
  <c r="P235" i="1"/>
  <c r="Q235" i="1"/>
  <c r="R235" i="1"/>
  <c r="S235" i="1"/>
  <c r="T235" i="1"/>
  <c r="U235" i="1"/>
  <c r="A237" i="1"/>
  <c r="B237" i="1"/>
  <c r="C237" i="1"/>
  <c r="D237" i="1"/>
  <c r="E237" i="1"/>
  <c r="F237" i="1"/>
  <c r="G237" i="1"/>
  <c r="H237" i="1"/>
  <c r="I237" i="1"/>
  <c r="J237" i="1"/>
  <c r="M237" i="1"/>
  <c r="N237" i="1"/>
  <c r="O237" i="1"/>
  <c r="P237" i="1"/>
  <c r="Q237" i="1"/>
  <c r="R237" i="1"/>
  <c r="S237" i="1"/>
  <c r="T237" i="1"/>
  <c r="U237" i="1"/>
  <c r="A224" i="1"/>
  <c r="B224" i="1"/>
  <c r="C224" i="1"/>
  <c r="D224" i="1"/>
  <c r="E224" i="1"/>
  <c r="F224" i="1"/>
  <c r="G224" i="1"/>
  <c r="H224" i="1"/>
  <c r="I224" i="1"/>
  <c r="J224" i="1"/>
  <c r="M224" i="1"/>
  <c r="N224" i="1"/>
  <c r="O224" i="1"/>
  <c r="Q224" i="1"/>
  <c r="R224" i="1"/>
  <c r="S224" i="1"/>
  <c r="T224" i="1"/>
  <c r="U224" i="1"/>
  <c r="A155" i="1"/>
  <c r="B155" i="1"/>
  <c r="C155" i="1"/>
  <c r="D155" i="1"/>
  <c r="E155" i="1"/>
  <c r="F155" i="1"/>
  <c r="G155" i="1"/>
  <c r="H155" i="1"/>
  <c r="I155" i="1"/>
  <c r="J155" i="1"/>
  <c r="M155" i="1"/>
  <c r="N155" i="1"/>
  <c r="O155" i="1"/>
  <c r="P155" i="1"/>
  <c r="Q155" i="1"/>
  <c r="R155" i="1"/>
  <c r="S155" i="1"/>
  <c r="T155" i="1"/>
  <c r="U155" i="1"/>
  <c r="A156" i="1"/>
  <c r="B156" i="1"/>
  <c r="C156" i="1"/>
  <c r="D156" i="1"/>
  <c r="E156" i="1"/>
  <c r="F156" i="1"/>
  <c r="G156" i="1"/>
  <c r="H156" i="1"/>
  <c r="I156" i="1"/>
  <c r="J156" i="1"/>
  <c r="M156" i="1"/>
  <c r="N156" i="1"/>
  <c r="O156" i="1"/>
  <c r="P156" i="1"/>
  <c r="Q156" i="1"/>
  <c r="R156" i="1"/>
  <c r="S156" i="1"/>
  <c r="T156" i="1"/>
  <c r="U156" i="1"/>
  <c r="A157" i="1"/>
  <c r="B157" i="1"/>
  <c r="C157" i="1"/>
  <c r="D157" i="1"/>
  <c r="E157" i="1"/>
  <c r="F157" i="1"/>
  <c r="G157" i="1"/>
  <c r="H157" i="1"/>
  <c r="I157" i="1"/>
  <c r="J157" i="1"/>
  <c r="M157" i="1"/>
  <c r="N157" i="1"/>
  <c r="O157" i="1"/>
  <c r="P157" i="1"/>
  <c r="Q157" i="1"/>
  <c r="R157" i="1"/>
  <c r="S157" i="1"/>
  <c r="T157" i="1"/>
  <c r="U157" i="1"/>
  <c r="A158" i="1"/>
  <c r="B158" i="1"/>
  <c r="C158" i="1"/>
  <c r="D158" i="1"/>
  <c r="E158" i="1"/>
  <c r="F158" i="1"/>
  <c r="G158" i="1"/>
  <c r="H158" i="1"/>
  <c r="I158" i="1"/>
  <c r="J158" i="1"/>
  <c r="M158" i="1"/>
  <c r="N158" i="1"/>
  <c r="O158" i="1"/>
  <c r="P158" i="1"/>
  <c r="Q158" i="1"/>
  <c r="R158" i="1"/>
  <c r="S158" i="1"/>
  <c r="T158" i="1"/>
  <c r="U158" i="1"/>
  <c r="A154" i="1"/>
  <c r="B154" i="1"/>
  <c r="C154" i="1"/>
  <c r="D154" i="1"/>
  <c r="E154" i="1"/>
  <c r="F154" i="1"/>
  <c r="G154" i="1"/>
  <c r="H154" i="1"/>
  <c r="I154" i="1"/>
  <c r="J154" i="1"/>
  <c r="M154" i="1"/>
  <c r="N154" i="1"/>
  <c r="O154" i="1"/>
  <c r="Q154" i="1"/>
  <c r="R154" i="1"/>
  <c r="S154" i="1"/>
  <c r="T154" i="1"/>
  <c r="U154" i="1"/>
  <c r="A104" i="1"/>
  <c r="B104" i="1"/>
  <c r="C104" i="1"/>
  <c r="D104" i="1"/>
  <c r="E104" i="1"/>
  <c r="F104" i="1"/>
  <c r="G104" i="1"/>
  <c r="H104" i="1"/>
  <c r="I104" i="1"/>
  <c r="J104" i="1"/>
  <c r="M104" i="1"/>
  <c r="N104" i="1"/>
  <c r="O104" i="1"/>
  <c r="P104" i="1"/>
  <c r="Q104" i="1"/>
  <c r="R104" i="1"/>
  <c r="S104" i="1"/>
  <c r="T104" i="1"/>
  <c r="U104" i="1"/>
  <c r="A105" i="1"/>
  <c r="B105" i="1"/>
  <c r="C105" i="1"/>
  <c r="D105" i="1"/>
  <c r="E105" i="1"/>
  <c r="F105" i="1"/>
  <c r="G105" i="1"/>
  <c r="H105" i="1"/>
  <c r="I105" i="1"/>
  <c r="J105" i="1"/>
  <c r="M105" i="1"/>
  <c r="N105" i="1"/>
  <c r="O105" i="1"/>
  <c r="P105" i="1"/>
  <c r="Q105" i="1"/>
  <c r="R105" i="1"/>
  <c r="S105" i="1"/>
  <c r="T105" i="1"/>
  <c r="U105" i="1"/>
  <c r="A1913" i="1"/>
  <c r="B1913" i="1"/>
  <c r="C1913" i="1"/>
  <c r="D1913" i="1"/>
  <c r="E1913" i="1"/>
  <c r="F1913" i="1"/>
  <c r="G1913" i="1"/>
  <c r="H1913" i="1"/>
  <c r="I1913" i="1"/>
  <c r="J1913" i="1"/>
  <c r="M1913" i="1"/>
  <c r="N1913" i="1"/>
  <c r="O1913" i="1"/>
  <c r="P1913" i="1"/>
  <c r="Q1913" i="1"/>
  <c r="R1913" i="1"/>
  <c r="S1913" i="1"/>
  <c r="T1913" i="1"/>
  <c r="U1913" i="1"/>
  <c r="A1829" i="1"/>
  <c r="B1829" i="1"/>
  <c r="C1829" i="1"/>
  <c r="D1829" i="1"/>
  <c r="E1829" i="1"/>
  <c r="F1829" i="1"/>
  <c r="G1829" i="1"/>
  <c r="H1829" i="1"/>
  <c r="I1829" i="1"/>
  <c r="J1829" i="1"/>
  <c r="M1829" i="1"/>
  <c r="N1829" i="1"/>
  <c r="O1829" i="1"/>
  <c r="P1829" i="1"/>
  <c r="Q1829" i="1"/>
  <c r="R1829" i="1"/>
  <c r="S1829" i="1"/>
  <c r="T1829" i="1"/>
  <c r="U1829" i="1"/>
  <c r="A1707" i="1"/>
  <c r="B1707" i="1"/>
  <c r="C1707" i="1"/>
  <c r="D1707" i="1"/>
  <c r="E1707" i="1"/>
  <c r="F1707" i="1"/>
  <c r="G1707" i="1"/>
  <c r="H1707" i="1"/>
  <c r="I1707" i="1"/>
  <c r="J1707" i="1"/>
  <c r="M1707" i="1"/>
  <c r="N1707" i="1"/>
  <c r="O1707" i="1"/>
  <c r="P1707" i="1"/>
  <c r="Q1707" i="1"/>
  <c r="R1707" i="1"/>
  <c r="S1707" i="1"/>
  <c r="T1707" i="1"/>
  <c r="U1707" i="1"/>
  <c r="A1708" i="1"/>
  <c r="B1708" i="1"/>
  <c r="C1708" i="1"/>
  <c r="D1708" i="1"/>
  <c r="E1708" i="1"/>
  <c r="F1708" i="1"/>
  <c r="G1708" i="1"/>
  <c r="H1708" i="1"/>
  <c r="I1708" i="1"/>
  <c r="J1708" i="1"/>
  <c r="M1708" i="1"/>
  <c r="N1708" i="1"/>
  <c r="O1708" i="1"/>
  <c r="P1708" i="1"/>
  <c r="Q1708" i="1"/>
  <c r="R1708" i="1"/>
  <c r="S1708" i="1"/>
  <c r="T1708" i="1"/>
  <c r="U1708" i="1"/>
  <c r="A1709" i="1"/>
  <c r="B1709" i="1"/>
  <c r="C1709" i="1"/>
  <c r="D1709" i="1"/>
  <c r="E1709" i="1"/>
  <c r="F1709" i="1"/>
  <c r="G1709" i="1"/>
  <c r="H1709" i="1"/>
  <c r="I1709" i="1"/>
  <c r="J1709" i="1"/>
  <c r="M1709" i="1"/>
  <c r="N1709" i="1"/>
  <c r="O1709" i="1"/>
  <c r="P1709" i="1"/>
  <c r="Q1709" i="1"/>
  <c r="R1709" i="1"/>
  <c r="S1709" i="1"/>
  <c r="T1709" i="1"/>
  <c r="U1709" i="1"/>
  <c r="A1630" i="1"/>
  <c r="B1630" i="1"/>
  <c r="C1630" i="1"/>
  <c r="D1630" i="1"/>
  <c r="E1630" i="1"/>
  <c r="F1630" i="1"/>
  <c r="G1630" i="1"/>
  <c r="H1630" i="1"/>
  <c r="I1630" i="1"/>
  <c r="J1630" i="1"/>
  <c r="M1630" i="1"/>
  <c r="N1630" i="1"/>
  <c r="O1630" i="1"/>
  <c r="P1630" i="1"/>
  <c r="Q1630" i="1"/>
  <c r="R1630" i="1"/>
  <c r="S1630" i="1"/>
  <c r="T1630" i="1"/>
  <c r="U1630" i="1"/>
  <c r="A1631" i="1"/>
  <c r="B1631" i="1"/>
  <c r="C1631" i="1"/>
  <c r="D1631" i="1"/>
  <c r="E1631" i="1"/>
  <c r="F1631" i="1"/>
  <c r="G1631" i="1"/>
  <c r="H1631" i="1"/>
  <c r="I1631" i="1"/>
  <c r="J1631" i="1"/>
  <c r="M1631" i="1"/>
  <c r="N1631" i="1"/>
  <c r="O1631" i="1"/>
  <c r="P1631" i="1"/>
  <c r="Q1631" i="1"/>
  <c r="R1631" i="1"/>
  <c r="S1631" i="1"/>
  <c r="T1631" i="1"/>
  <c r="U1631" i="1"/>
  <c r="A1632" i="1"/>
  <c r="B1632" i="1"/>
  <c r="C1632" i="1"/>
  <c r="D1632" i="1"/>
  <c r="E1632" i="1"/>
  <c r="F1632" i="1"/>
  <c r="G1632" i="1"/>
  <c r="H1632" i="1"/>
  <c r="I1632" i="1"/>
  <c r="J1632" i="1"/>
  <c r="M1632" i="1"/>
  <c r="N1632" i="1"/>
  <c r="O1632" i="1"/>
  <c r="P1632" i="1"/>
  <c r="Q1632" i="1"/>
  <c r="R1632" i="1"/>
  <c r="S1632" i="1"/>
  <c r="T1632" i="1"/>
  <c r="U1632" i="1"/>
  <c r="A1633" i="1"/>
  <c r="B1633" i="1"/>
  <c r="C1633" i="1"/>
  <c r="D1633" i="1"/>
  <c r="E1633" i="1"/>
  <c r="F1633" i="1"/>
  <c r="G1633" i="1"/>
  <c r="H1633" i="1"/>
  <c r="I1633" i="1"/>
  <c r="J1633" i="1"/>
  <c r="M1633" i="1"/>
  <c r="N1633" i="1"/>
  <c r="O1633" i="1"/>
  <c r="P1633" i="1"/>
  <c r="Q1633" i="1"/>
  <c r="R1633" i="1"/>
  <c r="S1633" i="1"/>
  <c r="T1633" i="1"/>
  <c r="U1633" i="1"/>
  <c r="A1634" i="1"/>
  <c r="B1634" i="1"/>
  <c r="C1634" i="1"/>
  <c r="D1634" i="1"/>
  <c r="E1634" i="1"/>
  <c r="F1634" i="1"/>
  <c r="G1634" i="1"/>
  <c r="H1634" i="1"/>
  <c r="I1634" i="1"/>
  <c r="J1634" i="1"/>
  <c r="M1634" i="1"/>
  <c r="N1634" i="1"/>
  <c r="O1634" i="1"/>
  <c r="P1634" i="1"/>
  <c r="Q1634" i="1"/>
  <c r="R1634" i="1"/>
  <c r="S1634" i="1"/>
  <c r="T1634" i="1"/>
  <c r="U1634" i="1"/>
  <c r="A1551" i="1"/>
  <c r="B1551" i="1"/>
  <c r="C1551" i="1"/>
  <c r="D1551" i="1"/>
  <c r="E1551" i="1"/>
  <c r="F1551" i="1"/>
  <c r="G1551" i="1"/>
  <c r="H1551" i="1"/>
  <c r="I1551" i="1"/>
  <c r="J1551" i="1"/>
  <c r="M1551" i="1"/>
  <c r="N1551" i="1"/>
  <c r="O1551" i="1"/>
  <c r="P1551" i="1"/>
  <c r="Q1551" i="1"/>
  <c r="R1551" i="1"/>
  <c r="S1551" i="1"/>
  <c r="T1551" i="1"/>
  <c r="U1551" i="1"/>
  <c r="A1552" i="1"/>
  <c r="B1552" i="1"/>
  <c r="C1552" i="1"/>
  <c r="D1552" i="1"/>
  <c r="E1552" i="1"/>
  <c r="F1552" i="1"/>
  <c r="G1552" i="1"/>
  <c r="H1552" i="1"/>
  <c r="I1552" i="1"/>
  <c r="J1552" i="1"/>
  <c r="M1552" i="1"/>
  <c r="N1552" i="1"/>
  <c r="O1552" i="1"/>
  <c r="P1552" i="1"/>
  <c r="Q1552" i="1"/>
  <c r="R1552" i="1"/>
  <c r="S1552" i="1"/>
  <c r="T1552" i="1"/>
  <c r="U1552" i="1"/>
  <c r="A1553" i="1"/>
  <c r="B1553" i="1"/>
  <c r="C1553" i="1"/>
  <c r="D1553" i="1"/>
  <c r="E1553" i="1"/>
  <c r="F1553" i="1"/>
  <c r="G1553" i="1"/>
  <c r="H1553" i="1"/>
  <c r="I1553" i="1"/>
  <c r="J1553" i="1"/>
  <c r="M1553" i="1"/>
  <c r="N1553" i="1"/>
  <c r="O1553" i="1"/>
  <c r="P1553" i="1"/>
  <c r="Q1553" i="1"/>
  <c r="R1553" i="1"/>
  <c r="S1553" i="1"/>
  <c r="T1553" i="1"/>
  <c r="U1553" i="1"/>
  <c r="A1554" i="1"/>
  <c r="B1554" i="1"/>
  <c r="C1554" i="1"/>
  <c r="D1554" i="1"/>
  <c r="E1554" i="1"/>
  <c r="F1554" i="1"/>
  <c r="G1554" i="1"/>
  <c r="H1554" i="1"/>
  <c r="I1554" i="1"/>
  <c r="J1554" i="1"/>
  <c r="M1554" i="1"/>
  <c r="N1554" i="1"/>
  <c r="O1554" i="1"/>
  <c r="P1554" i="1"/>
  <c r="Q1554" i="1"/>
  <c r="R1554" i="1"/>
  <c r="S1554" i="1"/>
  <c r="T1554" i="1"/>
  <c r="U1554" i="1"/>
  <c r="A1555" i="1"/>
  <c r="B1555" i="1"/>
  <c r="C1555" i="1"/>
  <c r="D1555" i="1"/>
  <c r="E1555" i="1"/>
  <c r="F1555" i="1"/>
  <c r="G1555" i="1"/>
  <c r="H1555" i="1"/>
  <c r="I1555" i="1"/>
  <c r="J1555" i="1"/>
  <c r="M1555" i="1"/>
  <c r="N1555" i="1"/>
  <c r="O1555" i="1"/>
  <c r="P1555" i="1"/>
  <c r="Q1555" i="1"/>
  <c r="R1555" i="1"/>
  <c r="S1555" i="1"/>
  <c r="T1555" i="1"/>
  <c r="U1555" i="1"/>
  <c r="A1556" i="1"/>
  <c r="B1556" i="1"/>
  <c r="C1556" i="1"/>
  <c r="D1556" i="1"/>
  <c r="E1556" i="1"/>
  <c r="F1556" i="1"/>
  <c r="G1556" i="1"/>
  <c r="H1556" i="1"/>
  <c r="I1556" i="1"/>
  <c r="J1556" i="1"/>
  <c r="M1556" i="1"/>
  <c r="N1556" i="1"/>
  <c r="O1556" i="1"/>
  <c r="P1556" i="1"/>
  <c r="Q1556" i="1"/>
  <c r="R1556" i="1"/>
  <c r="S1556" i="1"/>
  <c r="T1556" i="1"/>
  <c r="U1556" i="1"/>
  <c r="A1498" i="1"/>
  <c r="B1498" i="1"/>
  <c r="C1498" i="1"/>
  <c r="D1498" i="1"/>
  <c r="E1498" i="1"/>
  <c r="F1498" i="1"/>
  <c r="G1498" i="1"/>
  <c r="H1498" i="1"/>
  <c r="I1498" i="1"/>
  <c r="J1498" i="1"/>
  <c r="M1498" i="1"/>
  <c r="N1498" i="1"/>
  <c r="O1498" i="1"/>
  <c r="P1498" i="1"/>
  <c r="Q1498" i="1"/>
  <c r="R1498" i="1"/>
  <c r="S1498" i="1"/>
  <c r="T1498" i="1"/>
  <c r="U1498" i="1"/>
  <c r="A1497" i="1"/>
  <c r="B1497" i="1"/>
  <c r="C1497" i="1"/>
  <c r="D1497" i="1"/>
  <c r="E1497" i="1"/>
  <c r="F1497" i="1"/>
  <c r="G1497" i="1"/>
  <c r="H1497" i="1"/>
  <c r="I1497" i="1"/>
  <c r="J1497" i="1"/>
  <c r="M1497" i="1"/>
  <c r="N1497" i="1"/>
  <c r="O1497" i="1"/>
  <c r="Q1497" i="1"/>
  <c r="R1497" i="1"/>
  <c r="S1497" i="1"/>
  <c r="T1497" i="1"/>
  <c r="U1497" i="1"/>
  <c r="A1499" i="1"/>
  <c r="B1499" i="1"/>
  <c r="C1499" i="1"/>
  <c r="D1499" i="1"/>
  <c r="E1499" i="1"/>
  <c r="F1499" i="1"/>
  <c r="G1499" i="1"/>
  <c r="H1499" i="1"/>
  <c r="I1499" i="1"/>
  <c r="J1499" i="1"/>
  <c r="M1499" i="1"/>
  <c r="N1499" i="1"/>
  <c r="O1499" i="1"/>
  <c r="P1499" i="1"/>
  <c r="Q1499" i="1"/>
  <c r="R1499" i="1"/>
  <c r="S1499" i="1"/>
  <c r="T1499" i="1"/>
  <c r="U1499" i="1"/>
  <c r="A1293" i="1"/>
  <c r="B1293" i="1"/>
  <c r="C1293" i="1"/>
  <c r="D1293" i="1"/>
  <c r="E1293" i="1"/>
  <c r="F1293" i="1"/>
  <c r="G1293" i="1"/>
  <c r="H1293" i="1"/>
  <c r="I1293" i="1"/>
  <c r="J1293" i="1"/>
  <c r="M1293" i="1"/>
  <c r="N1293" i="1"/>
  <c r="O1293" i="1"/>
  <c r="P1293" i="1"/>
  <c r="Q1293" i="1"/>
  <c r="R1293" i="1"/>
  <c r="S1293" i="1"/>
  <c r="T1293" i="1"/>
  <c r="U1293" i="1"/>
  <c r="A1294" i="1"/>
  <c r="B1294" i="1"/>
  <c r="C1294" i="1"/>
  <c r="D1294" i="1"/>
  <c r="E1294" i="1"/>
  <c r="F1294" i="1"/>
  <c r="G1294" i="1"/>
  <c r="H1294" i="1"/>
  <c r="I1294" i="1"/>
  <c r="J1294" i="1"/>
  <c r="M1294" i="1"/>
  <c r="N1294" i="1"/>
  <c r="O1294" i="1"/>
  <c r="P1294" i="1"/>
  <c r="Q1294" i="1"/>
  <c r="R1294" i="1"/>
  <c r="S1294" i="1"/>
  <c r="T1294" i="1"/>
  <c r="U1294" i="1"/>
  <c r="A1292" i="1"/>
  <c r="B1292" i="1"/>
  <c r="C1292" i="1"/>
  <c r="D1292" i="1"/>
  <c r="E1292" i="1"/>
  <c r="F1292" i="1"/>
  <c r="G1292" i="1"/>
  <c r="H1292" i="1"/>
  <c r="I1292" i="1"/>
  <c r="J1292" i="1"/>
  <c r="M1292" i="1"/>
  <c r="N1292" i="1"/>
  <c r="O1292" i="1"/>
  <c r="Q1292" i="1"/>
  <c r="R1292" i="1"/>
  <c r="S1292" i="1"/>
  <c r="T1292" i="1"/>
  <c r="U1292" i="1"/>
  <c r="A1291" i="1"/>
  <c r="B1291" i="1"/>
  <c r="C1291" i="1"/>
  <c r="D1291" i="1"/>
  <c r="E1291" i="1"/>
  <c r="F1291" i="1"/>
  <c r="G1291" i="1"/>
  <c r="H1291" i="1"/>
  <c r="I1291" i="1"/>
  <c r="J1291" i="1"/>
  <c r="M1291" i="1"/>
  <c r="N1291" i="1"/>
  <c r="O1291" i="1"/>
  <c r="Q1291" i="1"/>
  <c r="R1291" i="1"/>
  <c r="S1291" i="1"/>
  <c r="T1291" i="1"/>
  <c r="U1291" i="1"/>
  <c r="A1296" i="1"/>
  <c r="B1296" i="1"/>
  <c r="C1296" i="1"/>
  <c r="D1296" i="1"/>
  <c r="E1296" i="1"/>
  <c r="F1296" i="1"/>
  <c r="G1296" i="1"/>
  <c r="H1296" i="1"/>
  <c r="I1296" i="1"/>
  <c r="J1296" i="1"/>
  <c r="M1296" i="1"/>
  <c r="N1296" i="1"/>
  <c r="O1296" i="1"/>
  <c r="P1296" i="1"/>
  <c r="Q1296" i="1"/>
  <c r="R1296" i="1"/>
  <c r="S1296" i="1"/>
  <c r="T1296" i="1"/>
  <c r="U1296" i="1"/>
  <c r="A1297" i="1"/>
  <c r="B1297" i="1"/>
  <c r="C1297" i="1"/>
  <c r="D1297" i="1"/>
  <c r="E1297" i="1"/>
  <c r="F1297" i="1"/>
  <c r="G1297" i="1"/>
  <c r="H1297" i="1"/>
  <c r="I1297" i="1"/>
  <c r="J1297" i="1"/>
  <c r="M1297" i="1"/>
  <c r="N1297" i="1"/>
  <c r="O1297" i="1"/>
  <c r="P1297" i="1"/>
  <c r="Q1297" i="1"/>
  <c r="R1297" i="1"/>
  <c r="S1297" i="1"/>
  <c r="T1297" i="1"/>
  <c r="U1297" i="1"/>
  <c r="A1298" i="1"/>
  <c r="B1298" i="1"/>
  <c r="C1298" i="1"/>
  <c r="D1298" i="1"/>
  <c r="E1298" i="1"/>
  <c r="F1298" i="1"/>
  <c r="G1298" i="1"/>
  <c r="H1298" i="1"/>
  <c r="I1298" i="1"/>
  <c r="J1298" i="1"/>
  <c r="M1298" i="1"/>
  <c r="N1298" i="1"/>
  <c r="O1298" i="1"/>
  <c r="P1298" i="1"/>
  <c r="Q1298" i="1"/>
  <c r="R1298" i="1"/>
  <c r="S1298" i="1"/>
  <c r="T1298" i="1"/>
  <c r="U1298" i="1"/>
  <c r="A1295" i="1"/>
  <c r="B1295" i="1"/>
  <c r="C1295" i="1"/>
  <c r="D1295" i="1"/>
  <c r="E1295" i="1"/>
  <c r="F1295" i="1"/>
  <c r="G1295" i="1"/>
  <c r="H1295" i="1"/>
  <c r="I1295" i="1"/>
  <c r="J1295" i="1"/>
  <c r="M1295" i="1"/>
  <c r="N1295" i="1"/>
  <c r="O1295" i="1"/>
  <c r="P1295" i="1"/>
  <c r="Q1295" i="1"/>
  <c r="R1295" i="1"/>
  <c r="S1295" i="1"/>
  <c r="T1295" i="1"/>
  <c r="U1295" i="1"/>
  <c r="A1223" i="1"/>
  <c r="B1223" i="1"/>
  <c r="C1223" i="1"/>
  <c r="D1223" i="1"/>
  <c r="E1223" i="1"/>
  <c r="F1223" i="1"/>
  <c r="G1223" i="1"/>
  <c r="H1223" i="1"/>
  <c r="I1223" i="1"/>
  <c r="J1223" i="1"/>
  <c r="M1223" i="1"/>
  <c r="N1223" i="1"/>
  <c r="O1223" i="1"/>
  <c r="P1223" i="1"/>
  <c r="Q1223" i="1"/>
  <c r="R1223" i="1"/>
  <c r="S1223" i="1"/>
  <c r="T1223" i="1"/>
  <c r="U1223" i="1"/>
  <c r="A1227" i="1"/>
  <c r="B1227" i="1"/>
  <c r="C1227" i="1"/>
  <c r="D1227" i="1"/>
  <c r="E1227" i="1"/>
  <c r="F1227" i="1"/>
  <c r="G1227" i="1"/>
  <c r="H1227" i="1"/>
  <c r="I1227" i="1"/>
  <c r="J1227" i="1"/>
  <c r="M1227" i="1"/>
  <c r="N1227" i="1"/>
  <c r="O1227" i="1"/>
  <c r="P1227" i="1"/>
  <c r="Q1227" i="1"/>
  <c r="R1227" i="1"/>
  <c r="S1227" i="1"/>
  <c r="T1227" i="1"/>
  <c r="U1227" i="1"/>
  <c r="A1224" i="1"/>
  <c r="B1224" i="1"/>
  <c r="C1224" i="1"/>
  <c r="D1224" i="1"/>
  <c r="E1224" i="1"/>
  <c r="F1224" i="1"/>
  <c r="G1224" i="1"/>
  <c r="H1224" i="1"/>
  <c r="I1224" i="1"/>
  <c r="J1224" i="1"/>
  <c r="M1224" i="1"/>
  <c r="N1224" i="1"/>
  <c r="O1224" i="1"/>
  <c r="P1224" i="1"/>
  <c r="Q1224" i="1"/>
  <c r="R1224" i="1"/>
  <c r="S1224" i="1"/>
  <c r="T1224" i="1"/>
  <c r="U1224" i="1"/>
  <c r="A1225" i="1"/>
  <c r="B1225" i="1"/>
  <c r="C1225" i="1"/>
  <c r="D1225" i="1"/>
  <c r="E1225" i="1"/>
  <c r="F1225" i="1"/>
  <c r="G1225" i="1"/>
  <c r="H1225" i="1"/>
  <c r="I1225" i="1"/>
  <c r="J1225" i="1"/>
  <c r="M1225" i="1"/>
  <c r="N1225" i="1"/>
  <c r="O1225" i="1"/>
  <c r="P1225" i="1"/>
  <c r="Q1225" i="1"/>
  <c r="R1225" i="1"/>
  <c r="S1225" i="1"/>
  <c r="T1225" i="1"/>
  <c r="U1225" i="1"/>
  <c r="A1222" i="1"/>
  <c r="B1222" i="1"/>
  <c r="C1222" i="1"/>
  <c r="D1222" i="1"/>
  <c r="E1222" i="1"/>
  <c r="F1222" i="1"/>
  <c r="G1222" i="1"/>
  <c r="H1222" i="1"/>
  <c r="I1222" i="1"/>
  <c r="J1222" i="1"/>
  <c r="M1222" i="1"/>
  <c r="N1222" i="1"/>
  <c r="O1222" i="1"/>
  <c r="Q1222" i="1"/>
  <c r="R1222" i="1"/>
  <c r="S1222" i="1"/>
  <c r="T1222" i="1"/>
  <c r="U1222" i="1"/>
  <c r="A1226" i="1"/>
  <c r="B1226" i="1"/>
  <c r="C1226" i="1"/>
  <c r="D1226" i="1"/>
  <c r="E1226" i="1"/>
  <c r="F1226" i="1"/>
  <c r="G1226" i="1"/>
  <c r="H1226" i="1"/>
  <c r="I1226" i="1"/>
  <c r="J1226" i="1"/>
  <c r="M1226" i="1"/>
  <c r="N1226" i="1"/>
  <c r="O1226" i="1"/>
  <c r="P1226" i="1"/>
  <c r="Q1226" i="1"/>
  <c r="R1226" i="1"/>
  <c r="S1226" i="1"/>
  <c r="T1226" i="1"/>
  <c r="U1226" i="1"/>
  <c r="A1130" i="1"/>
  <c r="B1130" i="1"/>
  <c r="C1130" i="1"/>
  <c r="D1130" i="1"/>
  <c r="E1130" i="1"/>
  <c r="F1130" i="1"/>
  <c r="G1130" i="1"/>
  <c r="H1130" i="1"/>
  <c r="I1130" i="1"/>
  <c r="J1130" i="1"/>
  <c r="M1130" i="1"/>
  <c r="N1130" i="1"/>
  <c r="O1130" i="1"/>
  <c r="P1130" i="1"/>
  <c r="Q1130" i="1"/>
  <c r="R1130" i="1"/>
  <c r="S1130" i="1"/>
  <c r="T1130" i="1"/>
  <c r="U1130" i="1"/>
  <c r="A1055" i="1"/>
  <c r="B1055" i="1"/>
  <c r="C1055" i="1"/>
  <c r="D1055" i="1"/>
  <c r="E1055" i="1"/>
  <c r="F1055" i="1"/>
  <c r="G1055" i="1"/>
  <c r="H1055" i="1"/>
  <c r="I1055" i="1"/>
  <c r="J1055" i="1"/>
  <c r="M1055" i="1"/>
  <c r="N1055" i="1"/>
  <c r="O1055" i="1"/>
  <c r="Q1055" i="1"/>
  <c r="R1055" i="1"/>
  <c r="S1055" i="1"/>
  <c r="T1055" i="1"/>
  <c r="U1055" i="1"/>
  <c r="A831" i="1"/>
  <c r="B831" i="1"/>
  <c r="C831" i="1"/>
  <c r="D831" i="1"/>
  <c r="E831" i="1"/>
  <c r="F831" i="1"/>
  <c r="G831" i="1"/>
  <c r="H831" i="1"/>
  <c r="I831" i="1"/>
  <c r="J831" i="1"/>
  <c r="M831" i="1"/>
  <c r="N831" i="1"/>
  <c r="O831" i="1"/>
  <c r="P831" i="1"/>
  <c r="Q831" i="1"/>
  <c r="R831" i="1"/>
  <c r="S831" i="1"/>
  <c r="T831" i="1"/>
  <c r="U831" i="1"/>
  <c r="A837" i="1"/>
  <c r="B837" i="1"/>
  <c r="C837" i="1"/>
  <c r="D837" i="1"/>
  <c r="E837" i="1"/>
  <c r="F837" i="1"/>
  <c r="G837" i="1"/>
  <c r="H837" i="1"/>
  <c r="I837" i="1"/>
  <c r="J837" i="1"/>
  <c r="M837" i="1"/>
  <c r="N837" i="1"/>
  <c r="O837" i="1"/>
  <c r="P837" i="1"/>
  <c r="Q837" i="1"/>
  <c r="R837" i="1"/>
  <c r="S837" i="1"/>
  <c r="T837" i="1"/>
  <c r="U837" i="1"/>
  <c r="A832" i="1"/>
  <c r="B832" i="1"/>
  <c r="C832" i="1"/>
  <c r="D832" i="1"/>
  <c r="E832" i="1"/>
  <c r="F832" i="1"/>
  <c r="G832" i="1"/>
  <c r="H832" i="1"/>
  <c r="I832" i="1"/>
  <c r="J832" i="1"/>
  <c r="M832" i="1"/>
  <c r="N832" i="1"/>
  <c r="O832" i="1"/>
  <c r="P832" i="1"/>
  <c r="Q832" i="1"/>
  <c r="R832" i="1"/>
  <c r="S832" i="1"/>
  <c r="T832" i="1"/>
  <c r="U832" i="1"/>
  <c r="A833" i="1"/>
  <c r="B833" i="1"/>
  <c r="C833" i="1"/>
  <c r="D833" i="1"/>
  <c r="E833" i="1"/>
  <c r="F833" i="1"/>
  <c r="G833" i="1"/>
  <c r="H833" i="1"/>
  <c r="I833" i="1"/>
  <c r="J833" i="1"/>
  <c r="M833" i="1"/>
  <c r="N833" i="1"/>
  <c r="O833" i="1"/>
  <c r="P833" i="1"/>
  <c r="Q833" i="1"/>
  <c r="R833" i="1"/>
  <c r="S833" i="1"/>
  <c r="T833" i="1"/>
  <c r="U833" i="1"/>
  <c r="A834" i="1"/>
  <c r="B834" i="1"/>
  <c r="C834" i="1"/>
  <c r="D834" i="1"/>
  <c r="E834" i="1"/>
  <c r="F834" i="1"/>
  <c r="G834" i="1"/>
  <c r="H834" i="1"/>
  <c r="I834" i="1"/>
  <c r="J834" i="1"/>
  <c r="M834" i="1"/>
  <c r="N834" i="1"/>
  <c r="O834" i="1"/>
  <c r="P834" i="1"/>
  <c r="Q834" i="1"/>
  <c r="R834" i="1"/>
  <c r="S834" i="1"/>
  <c r="T834" i="1"/>
  <c r="U834" i="1"/>
  <c r="A835" i="1"/>
  <c r="B835" i="1"/>
  <c r="C835" i="1"/>
  <c r="D835" i="1"/>
  <c r="E835" i="1"/>
  <c r="F835" i="1"/>
  <c r="G835" i="1"/>
  <c r="H835" i="1"/>
  <c r="I835" i="1"/>
  <c r="J835" i="1"/>
  <c r="M835" i="1"/>
  <c r="N835" i="1"/>
  <c r="O835" i="1"/>
  <c r="P835" i="1"/>
  <c r="Q835" i="1"/>
  <c r="R835" i="1"/>
  <c r="S835" i="1"/>
  <c r="T835" i="1"/>
  <c r="U835" i="1"/>
  <c r="A836" i="1"/>
  <c r="B836" i="1"/>
  <c r="C836" i="1"/>
  <c r="D836" i="1"/>
  <c r="E836" i="1"/>
  <c r="F836" i="1"/>
  <c r="G836" i="1"/>
  <c r="H836" i="1"/>
  <c r="I836" i="1"/>
  <c r="J836" i="1"/>
  <c r="M836" i="1"/>
  <c r="N836" i="1"/>
  <c r="O836" i="1"/>
  <c r="P836" i="1"/>
  <c r="Q836" i="1"/>
  <c r="R836" i="1"/>
  <c r="S836" i="1"/>
  <c r="T836" i="1"/>
  <c r="U836" i="1"/>
  <c r="A781" i="1"/>
  <c r="B781" i="1"/>
  <c r="C781" i="1"/>
  <c r="D781" i="1"/>
  <c r="E781" i="1"/>
  <c r="F781" i="1"/>
  <c r="G781" i="1"/>
  <c r="H781" i="1"/>
  <c r="I781" i="1"/>
  <c r="J781" i="1"/>
  <c r="M781" i="1"/>
  <c r="N781" i="1"/>
  <c r="O781" i="1"/>
  <c r="P781" i="1"/>
  <c r="Q781" i="1"/>
  <c r="R781" i="1"/>
  <c r="S781" i="1"/>
  <c r="T781" i="1"/>
  <c r="U781" i="1"/>
  <c r="A778" i="1"/>
  <c r="B778" i="1"/>
  <c r="C778" i="1"/>
  <c r="D778" i="1"/>
  <c r="E778" i="1"/>
  <c r="F778" i="1"/>
  <c r="G778" i="1"/>
  <c r="H778" i="1"/>
  <c r="I778" i="1"/>
  <c r="J778" i="1"/>
  <c r="M778" i="1"/>
  <c r="N778" i="1"/>
  <c r="O778" i="1"/>
  <c r="P778" i="1"/>
  <c r="Q778" i="1"/>
  <c r="R778" i="1"/>
  <c r="S778" i="1"/>
  <c r="T778" i="1"/>
  <c r="U778" i="1"/>
  <c r="A779" i="1"/>
  <c r="B779" i="1"/>
  <c r="C779" i="1"/>
  <c r="D779" i="1"/>
  <c r="E779" i="1"/>
  <c r="F779" i="1"/>
  <c r="G779" i="1"/>
  <c r="H779" i="1"/>
  <c r="I779" i="1"/>
  <c r="J779" i="1"/>
  <c r="M779" i="1"/>
  <c r="N779" i="1"/>
  <c r="O779" i="1"/>
  <c r="P779" i="1"/>
  <c r="Q779" i="1"/>
  <c r="R779" i="1"/>
  <c r="S779" i="1"/>
  <c r="T779" i="1"/>
  <c r="U779" i="1"/>
  <c r="A780" i="1"/>
  <c r="B780" i="1"/>
  <c r="C780" i="1"/>
  <c r="D780" i="1"/>
  <c r="E780" i="1"/>
  <c r="F780" i="1"/>
  <c r="G780" i="1"/>
  <c r="H780" i="1"/>
  <c r="I780" i="1"/>
  <c r="J780" i="1"/>
  <c r="M780" i="1"/>
  <c r="N780" i="1"/>
  <c r="O780" i="1"/>
  <c r="P780" i="1"/>
  <c r="Q780" i="1"/>
  <c r="R780" i="1"/>
  <c r="S780" i="1"/>
  <c r="T780" i="1"/>
  <c r="U780" i="1"/>
  <c r="A733" i="1"/>
  <c r="B733" i="1"/>
  <c r="C733" i="1"/>
  <c r="D733" i="1"/>
  <c r="E733" i="1"/>
  <c r="F733" i="1"/>
  <c r="G733" i="1"/>
  <c r="H733" i="1"/>
  <c r="I733" i="1"/>
  <c r="J733" i="1"/>
  <c r="M733" i="1"/>
  <c r="N733" i="1"/>
  <c r="O733" i="1"/>
  <c r="P733" i="1"/>
  <c r="Q733" i="1"/>
  <c r="R733" i="1"/>
  <c r="S733" i="1"/>
  <c r="T733" i="1"/>
  <c r="U733" i="1"/>
  <c r="A734" i="1"/>
  <c r="B734" i="1"/>
  <c r="C734" i="1"/>
  <c r="D734" i="1"/>
  <c r="E734" i="1"/>
  <c r="F734" i="1"/>
  <c r="G734" i="1"/>
  <c r="H734" i="1"/>
  <c r="I734" i="1"/>
  <c r="J734" i="1"/>
  <c r="M734" i="1"/>
  <c r="N734" i="1"/>
  <c r="O734" i="1"/>
  <c r="P734" i="1"/>
  <c r="Q734" i="1"/>
  <c r="R734" i="1"/>
  <c r="S734" i="1"/>
  <c r="T734" i="1"/>
  <c r="U734" i="1"/>
  <c r="A613" i="1"/>
  <c r="B613" i="1"/>
  <c r="C613" i="1"/>
  <c r="D613" i="1"/>
  <c r="E613" i="1"/>
  <c r="F613" i="1"/>
  <c r="G613" i="1"/>
  <c r="H613" i="1"/>
  <c r="I613" i="1"/>
  <c r="J613" i="1"/>
  <c r="M613" i="1"/>
  <c r="N613" i="1"/>
  <c r="O613" i="1"/>
  <c r="P613" i="1"/>
  <c r="Q613" i="1"/>
  <c r="R613" i="1"/>
  <c r="S613" i="1"/>
  <c r="T613" i="1"/>
  <c r="U613" i="1"/>
  <c r="A614" i="1"/>
  <c r="B614" i="1"/>
  <c r="C614" i="1"/>
  <c r="D614" i="1"/>
  <c r="E614" i="1"/>
  <c r="F614" i="1"/>
  <c r="G614" i="1"/>
  <c r="H614" i="1"/>
  <c r="I614" i="1"/>
  <c r="J614" i="1"/>
  <c r="M614" i="1"/>
  <c r="N614" i="1"/>
  <c r="O614" i="1"/>
  <c r="P614" i="1"/>
  <c r="Q614" i="1"/>
  <c r="R614" i="1"/>
  <c r="S614" i="1"/>
  <c r="T614" i="1"/>
  <c r="U614" i="1"/>
  <c r="A615" i="1"/>
  <c r="B615" i="1"/>
  <c r="C615" i="1"/>
  <c r="D615" i="1"/>
  <c r="E615" i="1"/>
  <c r="F615" i="1"/>
  <c r="G615" i="1"/>
  <c r="H615" i="1"/>
  <c r="I615" i="1"/>
  <c r="J615" i="1"/>
  <c r="M615" i="1"/>
  <c r="N615" i="1"/>
  <c r="O615" i="1"/>
  <c r="P615" i="1"/>
  <c r="Q615" i="1"/>
  <c r="R615" i="1"/>
  <c r="S615" i="1"/>
  <c r="T615" i="1"/>
  <c r="U615" i="1"/>
  <c r="A616" i="1"/>
  <c r="B616" i="1"/>
  <c r="C616" i="1"/>
  <c r="D616" i="1"/>
  <c r="E616" i="1"/>
  <c r="F616" i="1"/>
  <c r="G616" i="1"/>
  <c r="H616" i="1"/>
  <c r="I616" i="1"/>
  <c r="J616" i="1"/>
  <c r="M616" i="1"/>
  <c r="N616" i="1"/>
  <c r="O616" i="1"/>
  <c r="P616" i="1"/>
  <c r="Q616" i="1"/>
  <c r="R616" i="1"/>
  <c r="S616" i="1"/>
  <c r="T616" i="1"/>
  <c r="U616" i="1"/>
  <c r="A617" i="1"/>
  <c r="B617" i="1"/>
  <c r="C617" i="1"/>
  <c r="D617" i="1"/>
  <c r="E617" i="1"/>
  <c r="F617" i="1"/>
  <c r="G617" i="1"/>
  <c r="H617" i="1"/>
  <c r="I617" i="1"/>
  <c r="J617" i="1"/>
  <c r="M617" i="1"/>
  <c r="N617" i="1"/>
  <c r="O617" i="1"/>
  <c r="P617" i="1"/>
  <c r="Q617" i="1"/>
  <c r="R617" i="1"/>
  <c r="S617" i="1"/>
  <c r="T617" i="1"/>
  <c r="U617" i="1"/>
  <c r="A618" i="1"/>
  <c r="B618" i="1"/>
  <c r="C618" i="1"/>
  <c r="D618" i="1"/>
  <c r="E618" i="1"/>
  <c r="F618" i="1"/>
  <c r="G618" i="1"/>
  <c r="H618" i="1"/>
  <c r="I618" i="1"/>
  <c r="J618" i="1"/>
  <c r="M618" i="1"/>
  <c r="N618" i="1"/>
  <c r="O618" i="1"/>
  <c r="P618" i="1"/>
  <c r="Q618" i="1"/>
  <c r="R618" i="1"/>
  <c r="S618" i="1"/>
  <c r="T618" i="1"/>
  <c r="U618" i="1"/>
  <c r="A620" i="1"/>
  <c r="B620" i="1"/>
  <c r="C620" i="1"/>
  <c r="D620" i="1"/>
  <c r="E620" i="1"/>
  <c r="F620" i="1"/>
  <c r="G620" i="1"/>
  <c r="H620" i="1"/>
  <c r="I620" i="1"/>
  <c r="J620" i="1"/>
  <c r="M620" i="1"/>
  <c r="N620" i="1"/>
  <c r="O620" i="1"/>
  <c r="P620" i="1"/>
  <c r="Q620" i="1"/>
  <c r="R620" i="1"/>
  <c r="S620" i="1"/>
  <c r="T620" i="1"/>
  <c r="U620" i="1"/>
  <c r="A619" i="1"/>
  <c r="B619" i="1"/>
  <c r="C619" i="1"/>
  <c r="D619" i="1"/>
  <c r="E619" i="1"/>
  <c r="F619" i="1"/>
  <c r="G619" i="1"/>
  <c r="H619" i="1"/>
  <c r="I619" i="1"/>
  <c r="J619" i="1"/>
  <c r="M619" i="1"/>
  <c r="N619" i="1"/>
  <c r="O619" i="1"/>
  <c r="P619" i="1"/>
  <c r="Q619" i="1"/>
  <c r="R619" i="1"/>
  <c r="S619" i="1"/>
  <c r="T619" i="1"/>
  <c r="U619" i="1"/>
  <c r="A427" i="1"/>
  <c r="B427" i="1"/>
  <c r="C427" i="1"/>
  <c r="D427" i="1"/>
  <c r="E427" i="1"/>
  <c r="F427" i="1"/>
  <c r="G427" i="1"/>
  <c r="H427" i="1"/>
  <c r="I427" i="1"/>
  <c r="J427" i="1"/>
  <c r="M427" i="1"/>
  <c r="N427" i="1"/>
  <c r="O427" i="1"/>
  <c r="P427" i="1"/>
  <c r="Q427" i="1"/>
  <c r="R427" i="1"/>
  <c r="S427" i="1"/>
  <c r="T427" i="1"/>
  <c r="U427" i="1"/>
  <c r="A428" i="1"/>
  <c r="B428" i="1"/>
  <c r="C428" i="1"/>
  <c r="D428" i="1"/>
  <c r="E428" i="1"/>
  <c r="F428" i="1"/>
  <c r="G428" i="1"/>
  <c r="H428" i="1"/>
  <c r="I428" i="1"/>
  <c r="J428" i="1"/>
  <c r="M428" i="1"/>
  <c r="N428" i="1"/>
  <c r="O428" i="1"/>
  <c r="P428" i="1"/>
  <c r="Q428" i="1"/>
  <c r="R428" i="1"/>
  <c r="S428" i="1"/>
  <c r="T428" i="1"/>
  <c r="U428" i="1"/>
  <c r="A361" i="1"/>
  <c r="B361" i="1"/>
  <c r="C361" i="1"/>
  <c r="D361" i="1"/>
  <c r="E361" i="1"/>
  <c r="F361" i="1"/>
  <c r="G361" i="1"/>
  <c r="H361" i="1"/>
  <c r="I361" i="1"/>
  <c r="J361" i="1"/>
  <c r="M361" i="1"/>
  <c r="N361" i="1"/>
  <c r="O361" i="1"/>
  <c r="P361" i="1"/>
  <c r="Q361" i="1"/>
  <c r="R361" i="1"/>
  <c r="S361" i="1"/>
  <c r="T361" i="1"/>
  <c r="U361" i="1"/>
  <c r="A355" i="1"/>
  <c r="B355" i="1"/>
  <c r="C355" i="1"/>
  <c r="D355" i="1"/>
  <c r="E355" i="1"/>
  <c r="F355" i="1"/>
  <c r="G355" i="1"/>
  <c r="H355" i="1"/>
  <c r="I355" i="1"/>
  <c r="J355" i="1"/>
  <c r="M355" i="1"/>
  <c r="N355" i="1"/>
  <c r="O355" i="1"/>
  <c r="P355" i="1"/>
  <c r="Q355" i="1"/>
  <c r="R355" i="1"/>
  <c r="S355" i="1"/>
  <c r="T355" i="1"/>
  <c r="U355" i="1"/>
  <c r="A356" i="1"/>
  <c r="B356" i="1"/>
  <c r="C356" i="1"/>
  <c r="D356" i="1"/>
  <c r="E356" i="1"/>
  <c r="F356" i="1"/>
  <c r="G356" i="1"/>
  <c r="H356" i="1"/>
  <c r="I356" i="1"/>
  <c r="J356" i="1"/>
  <c r="M356" i="1"/>
  <c r="N356" i="1"/>
  <c r="O356" i="1"/>
  <c r="P356" i="1"/>
  <c r="Q356" i="1"/>
  <c r="R356" i="1"/>
  <c r="S356" i="1"/>
  <c r="T356" i="1"/>
  <c r="U356" i="1"/>
  <c r="A362" i="1"/>
  <c r="B362" i="1"/>
  <c r="C362" i="1"/>
  <c r="D362" i="1"/>
  <c r="E362" i="1"/>
  <c r="F362" i="1"/>
  <c r="G362" i="1"/>
  <c r="H362" i="1"/>
  <c r="I362" i="1"/>
  <c r="J362" i="1"/>
  <c r="M362" i="1"/>
  <c r="N362" i="1"/>
  <c r="O362" i="1"/>
  <c r="P362" i="1"/>
  <c r="Q362" i="1"/>
  <c r="R362" i="1"/>
  <c r="S362" i="1"/>
  <c r="T362" i="1"/>
  <c r="U362" i="1"/>
  <c r="A357" i="1"/>
  <c r="B357" i="1"/>
  <c r="C357" i="1"/>
  <c r="D357" i="1"/>
  <c r="E357" i="1"/>
  <c r="F357" i="1"/>
  <c r="G357" i="1"/>
  <c r="H357" i="1"/>
  <c r="I357" i="1"/>
  <c r="J357" i="1"/>
  <c r="M357" i="1"/>
  <c r="N357" i="1"/>
  <c r="O357" i="1"/>
  <c r="P357" i="1"/>
  <c r="Q357" i="1"/>
  <c r="R357" i="1"/>
  <c r="S357" i="1"/>
  <c r="T357" i="1"/>
  <c r="U357" i="1"/>
  <c r="A358" i="1"/>
  <c r="B358" i="1"/>
  <c r="C358" i="1"/>
  <c r="D358" i="1"/>
  <c r="E358" i="1"/>
  <c r="F358" i="1"/>
  <c r="G358" i="1"/>
  <c r="H358" i="1"/>
  <c r="I358" i="1"/>
  <c r="J358" i="1"/>
  <c r="M358" i="1"/>
  <c r="N358" i="1"/>
  <c r="O358" i="1"/>
  <c r="P358" i="1"/>
  <c r="Q358" i="1"/>
  <c r="R358" i="1"/>
  <c r="S358" i="1"/>
  <c r="T358" i="1"/>
  <c r="U358" i="1"/>
  <c r="A359" i="1"/>
  <c r="B359" i="1"/>
  <c r="C359" i="1"/>
  <c r="D359" i="1"/>
  <c r="E359" i="1"/>
  <c r="F359" i="1"/>
  <c r="G359" i="1"/>
  <c r="H359" i="1"/>
  <c r="I359" i="1"/>
  <c r="J359" i="1"/>
  <c r="M359" i="1"/>
  <c r="N359" i="1"/>
  <c r="O359" i="1"/>
  <c r="P359" i="1"/>
  <c r="Q359" i="1"/>
  <c r="R359" i="1"/>
  <c r="S359" i="1"/>
  <c r="T359" i="1"/>
  <c r="U359" i="1"/>
  <c r="A360" i="1"/>
  <c r="B360" i="1"/>
  <c r="C360" i="1"/>
  <c r="D360" i="1"/>
  <c r="E360" i="1"/>
  <c r="F360" i="1"/>
  <c r="G360" i="1"/>
  <c r="H360" i="1"/>
  <c r="I360" i="1"/>
  <c r="J360" i="1"/>
  <c r="M360" i="1"/>
  <c r="N360" i="1"/>
  <c r="O360" i="1"/>
  <c r="P360" i="1"/>
  <c r="Q360" i="1"/>
  <c r="R360" i="1"/>
  <c r="S360" i="1"/>
  <c r="T360" i="1"/>
  <c r="U360" i="1"/>
  <c r="A297" i="1"/>
  <c r="B297" i="1"/>
  <c r="C297" i="1"/>
  <c r="D297" i="1"/>
  <c r="E297" i="1"/>
  <c r="F297" i="1"/>
  <c r="G297" i="1"/>
  <c r="H297" i="1"/>
  <c r="I297" i="1"/>
  <c r="J297" i="1"/>
  <c r="M297" i="1"/>
  <c r="N297" i="1"/>
  <c r="O297" i="1"/>
  <c r="P297" i="1"/>
  <c r="Q297" i="1"/>
  <c r="R297" i="1"/>
  <c r="S297" i="1"/>
  <c r="T297" i="1"/>
  <c r="U297" i="1"/>
  <c r="A296" i="1"/>
  <c r="B296" i="1"/>
  <c r="C296" i="1"/>
  <c r="D296" i="1"/>
  <c r="E296" i="1"/>
  <c r="F296" i="1"/>
  <c r="G296" i="1"/>
  <c r="H296" i="1"/>
  <c r="I296" i="1"/>
  <c r="J296" i="1"/>
  <c r="M296" i="1"/>
  <c r="N296" i="1"/>
  <c r="O296" i="1"/>
  <c r="Q296" i="1"/>
  <c r="R296" i="1"/>
  <c r="S296" i="1"/>
  <c r="T296" i="1"/>
  <c r="U296" i="1"/>
  <c r="A151" i="1"/>
  <c r="B151" i="1"/>
  <c r="C151" i="1"/>
  <c r="D151" i="1"/>
  <c r="E151" i="1"/>
  <c r="F151" i="1"/>
  <c r="G151" i="1"/>
  <c r="H151" i="1"/>
  <c r="I151" i="1"/>
  <c r="J151" i="1"/>
  <c r="M151" i="1"/>
  <c r="N151" i="1"/>
  <c r="O151" i="1"/>
  <c r="P151" i="1"/>
  <c r="Q151" i="1"/>
  <c r="R151" i="1"/>
  <c r="S151" i="1"/>
  <c r="T151" i="1"/>
  <c r="U151" i="1"/>
  <c r="A152" i="1"/>
  <c r="B152" i="1"/>
  <c r="C152" i="1"/>
  <c r="D152" i="1"/>
  <c r="E152" i="1"/>
  <c r="F152" i="1"/>
  <c r="G152" i="1"/>
  <c r="H152" i="1"/>
  <c r="I152" i="1"/>
  <c r="J152" i="1"/>
  <c r="M152" i="1"/>
  <c r="N152" i="1"/>
  <c r="O152" i="1"/>
  <c r="P152" i="1"/>
  <c r="Q152" i="1"/>
  <c r="R152" i="1"/>
  <c r="S152" i="1"/>
  <c r="T152" i="1"/>
  <c r="U152" i="1"/>
  <c r="A153" i="1"/>
  <c r="B153" i="1"/>
  <c r="C153" i="1"/>
  <c r="D153" i="1"/>
  <c r="E153" i="1"/>
  <c r="F153" i="1"/>
  <c r="G153" i="1"/>
  <c r="H153" i="1"/>
  <c r="I153" i="1"/>
  <c r="J153" i="1"/>
  <c r="M153" i="1"/>
  <c r="N153" i="1"/>
  <c r="O153" i="1"/>
  <c r="P153" i="1"/>
  <c r="Q153" i="1"/>
  <c r="R153" i="1"/>
  <c r="S153" i="1"/>
  <c r="T153" i="1"/>
  <c r="U153" i="1"/>
  <c r="A59" i="1"/>
  <c r="B59" i="1"/>
  <c r="C59" i="1"/>
  <c r="D59" i="1"/>
  <c r="E59" i="1"/>
  <c r="F59" i="1"/>
  <c r="G59" i="1"/>
  <c r="H59" i="1"/>
  <c r="I59" i="1"/>
  <c r="J59" i="1"/>
  <c r="M59" i="1"/>
  <c r="N59" i="1"/>
  <c r="O59" i="1"/>
  <c r="P59" i="1"/>
  <c r="Q59" i="1"/>
  <c r="R59" i="1"/>
  <c r="S59" i="1"/>
  <c r="T59" i="1"/>
  <c r="U59" i="1"/>
  <c r="A1878" i="1"/>
  <c r="B1878" i="1"/>
  <c r="C1878" i="1"/>
  <c r="D1878" i="1"/>
  <c r="E1878" i="1"/>
  <c r="F1878" i="1"/>
  <c r="G1878" i="1"/>
  <c r="H1878" i="1"/>
  <c r="I1878" i="1"/>
  <c r="J1878" i="1"/>
  <c r="M1878" i="1"/>
  <c r="N1878" i="1"/>
  <c r="O1878" i="1"/>
  <c r="P1878" i="1"/>
  <c r="Q1878" i="1"/>
  <c r="R1878" i="1"/>
  <c r="S1878" i="1"/>
  <c r="T1878" i="1"/>
  <c r="U1878" i="1"/>
  <c r="A1870" i="1"/>
  <c r="B1870" i="1"/>
  <c r="C1870" i="1"/>
  <c r="D1870" i="1"/>
  <c r="E1870" i="1"/>
  <c r="F1870" i="1"/>
  <c r="G1870" i="1"/>
  <c r="H1870" i="1"/>
  <c r="I1870" i="1"/>
  <c r="J1870" i="1"/>
  <c r="M1870" i="1"/>
  <c r="N1870" i="1"/>
  <c r="O1870" i="1"/>
  <c r="P1870" i="1"/>
  <c r="Q1870" i="1"/>
  <c r="R1870" i="1"/>
  <c r="S1870" i="1"/>
  <c r="T1870" i="1"/>
  <c r="U1870" i="1"/>
  <c r="A1871" i="1"/>
  <c r="B1871" i="1"/>
  <c r="C1871" i="1"/>
  <c r="D1871" i="1"/>
  <c r="E1871" i="1"/>
  <c r="F1871" i="1"/>
  <c r="G1871" i="1"/>
  <c r="H1871" i="1"/>
  <c r="I1871" i="1"/>
  <c r="J1871" i="1"/>
  <c r="M1871" i="1"/>
  <c r="N1871" i="1"/>
  <c r="O1871" i="1"/>
  <c r="P1871" i="1"/>
  <c r="Q1871" i="1"/>
  <c r="R1871" i="1"/>
  <c r="S1871" i="1"/>
  <c r="T1871" i="1"/>
  <c r="U1871" i="1"/>
  <c r="A1872" i="1"/>
  <c r="B1872" i="1"/>
  <c r="C1872" i="1"/>
  <c r="D1872" i="1"/>
  <c r="E1872" i="1"/>
  <c r="F1872" i="1"/>
  <c r="G1872" i="1"/>
  <c r="H1872" i="1"/>
  <c r="I1872" i="1"/>
  <c r="J1872" i="1"/>
  <c r="M1872" i="1"/>
  <c r="N1872" i="1"/>
  <c r="O1872" i="1"/>
  <c r="P1872" i="1"/>
  <c r="Q1872" i="1"/>
  <c r="R1872" i="1"/>
  <c r="S1872" i="1"/>
  <c r="T1872" i="1"/>
  <c r="U1872" i="1"/>
  <c r="A1873" i="1"/>
  <c r="B1873" i="1"/>
  <c r="C1873" i="1"/>
  <c r="D1873" i="1"/>
  <c r="E1873" i="1"/>
  <c r="F1873" i="1"/>
  <c r="G1873" i="1"/>
  <c r="H1873" i="1"/>
  <c r="I1873" i="1"/>
  <c r="J1873" i="1"/>
  <c r="M1873" i="1"/>
  <c r="N1873" i="1"/>
  <c r="O1873" i="1"/>
  <c r="P1873" i="1"/>
  <c r="Q1873" i="1"/>
  <c r="R1873" i="1"/>
  <c r="S1873" i="1"/>
  <c r="T1873" i="1"/>
  <c r="U1873" i="1"/>
  <c r="A1874" i="1"/>
  <c r="B1874" i="1"/>
  <c r="C1874" i="1"/>
  <c r="D1874" i="1"/>
  <c r="E1874" i="1"/>
  <c r="F1874" i="1"/>
  <c r="G1874" i="1"/>
  <c r="H1874" i="1"/>
  <c r="I1874" i="1"/>
  <c r="J1874" i="1"/>
  <c r="M1874" i="1"/>
  <c r="N1874" i="1"/>
  <c r="O1874" i="1"/>
  <c r="P1874" i="1"/>
  <c r="Q1874" i="1"/>
  <c r="R1874" i="1"/>
  <c r="S1874" i="1"/>
  <c r="T1874" i="1"/>
  <c r="U1874" i="1"/>
  <c r="A1875" i="1"/>
  <c r="B1875" i="1"/>
  <c r="C1875" i="1"/>
  <c r="D1875" i="1"/>
  <c r="E1875" i="1"/>
  <c r="F1875" i="1"/>
  <c r="G1875" i="1"/>
  <c r="H1875" i="1"/>
  <c r="I1875" i="1"/>
  <c r="J1875" i="1"/>
  <c r="M1875" i="1"/>
  <c r="N1875" i="1"/>
  <c r="O1875" i="1"/>
  <c r="P1875" i="1"/>
  <c r="Q1875" i="1"/>
  <c r="R1875" i="1"/>
  <c r="S1875" i="1"/>
  <c r="T1875" i="1"/>
  <c r="U1875" i="1"/>
  <c r="A1876" i="1"/>
  <c r="B1876" i="1"/>
  <c r="C1876" i="1"/>
  <c r="D1876" i="1"/>
  <c r="E1876" i="1"/>
  <c r="F1876" i="1"/>
  <c r="G1876" i="1"/>
  <c r="H1876" i="1"/>
  <c r="I1876" i="1"/>
  <c r="J1876" i="1"/>
  <c r="M1876" i="1"/>
  <c r="N1876" i="1"/>
  <c r="O1876" i="1"/>
  <c r="P1876" i="1"/>
  <c r="Q1876" i="1"/>
  <c r="R1876" i="1"/>
  <c r="S1876" i="1"/>
  <c r="T1876" i="1"/>
  <c r="U1876" i="1"/>
  <c r="A1877" i="1"/>
  <c r="B1877" i="1"/>
  <c r="C1877" i="1"/>
  <c r="D1877" i="1"/>
  <c r="E1877" i="1"/>
  <c r="F1877" i="1"/>
  <c r="G1877" i="1"/>
  <c r="H1877" i="1"/>
  <c r="I1877" i="1"/>
  <c r="J1877" i="1"/>
  <c r="M1877" i="1"/>
  <c r="N1877" i="1"/>
  <c r="O1877" i="1"/>
  <c r="P1877" i="1"/>
  <c r="Q1877" i="1"/>
  <c r="R1877" i="1"/>
  <c r="S1877" i="1"/>
  <c r="T1877" i="1"/>
  <c r="U1877" i="1"/>
  <c r="A1822" i="1"/>
  <c r="B1822" i="1"/>
  <c r="C1822" i="1"/>
  <c r="D1822" i="1"/>
  <c r="E1822" i="1"/>
  <c r="F1822" i="1"/>
  <c r="G1822" i="1"/>
  <c r="H1822" i="1"/>
  <c r="I1822" i="1"/>
  <c r="J1822" i="1"/>
  <c r="M1822" i="1"/>
  <c r="N1822" i="1"/>
  <c r="O1822" i="1"/>
  <c r="P1822" i="1"/>
  <c r="Q1822" i="1"/>
  <c r="R1822" i="1"/>
  <c r="S1822" i="1"/>
  <c r="T1822" i="1"/>
  <c r="U1822" i="1"/>
  <c r="A1823" i="1"/>
  <c r="B1823" i="1"/>
  <c r="C1823" i="1"/>
  <c r="D1823" i="1"/>
  <c r="E1823" i="1"/>
  <c r="F1823" i="1"/>
  <c r="G1823" i="1"/>
  <c r="H1823" i="1"/>
  <c r="I1823" i="1"/>
  <c r="J1823" i="1"/>
  <c r="M1823" i="1"/>
  <c r="N1823" i="1"/>
  <c r="O1823" i="1"/>
  <c r="P1823" i="1"/>
  <c r="Q1823" i="1"/>
  <c r="R1823" i="1"/>
  <c r="S1823" i="1"/>
  <c r="T1823" i="1"/>
  <c r="U1823" i="1"/>
  <c r="A1824" i="1"/>
  <c r="B1824" i="1"/>
  <c r="C1824" i="1"/>
  <c r="D1824" i="1"/>
  <c r="E1824" i="1"/>
  <c r="F1824" i="1"/>
  <c r="G1824" i="1"/>
  <c r="H1824" i="1"/>
  <c r="I1824" i="1"/>
  <c r="J1824" i="1"/>
  <c r="M1824" i="1"/>
  <c r="N1824" i="1"/>
  <c r="O1824" i="1"/>
  <c r="P1824" i="1"/>
  <c r="Q1824" i="1"/>
  <c r="R1824" i="1"/>
  <c r="S1824" i="1"/>
  <c r="T1824" i="1"/>
  <c r="U1824" i="1"/>
  <c r="A1825" i="1"/>
  <c r="B1825" i="1"/>
  <c r="C1825" i="1"/>
  <c r="D1825" i="1"/>
  <c r="E1825" i="1"/>
  <c r="F1825" i="1"/>
  <c r="G1825" i="1"/>
  <c r="H1825" i="1"/>
  <c r="I1825" i="1"/>
  <c r="J1825" i="1"/>
  <c r="M1825" i="1"/>
  <c r="N1825" i="1"/>
  <c r="O1825" i="1"/>
  <c r="P1825" i="1"/>
  <c r="Q1825" i="1"/>
  <c r="R1825" i="1"/>
  <c r="S1825" i="1"/>
  <c r="T1825" i="1"/>
  <c r="U1825" i="1"/>
  <c r="A1761" i="1"/>
  <c r="B1761" i="1"/>
  <c r="C1761" i="1"/>
  <c r="D1761" i="1"/>
  <c r="E1761" i="1"/>
  <c r="F1761" i="1"/>
  <c r="G1761" i="1"/>
  <c r="H1761" i="1"/>
  <c r="I1761" i="1"/>
  <c r="J1761" i="1"/>
  <c r="M1761" i="1"/>
  <c r="N1761" i="1"/>
  <c r="O1761" i="1"/>
  <c r="P1761" i="1"/>
  <c r="Q1761" i="1"/>
  <c r="R1761" i="1"/>
  <c r="S1761" i="1"/>
  <c r="T1761" i="1"/>
  <c r="U1761" i="1"/>
  <c r="A1760" i="1"/>
  <c r="B1760" i="1"/>
  <c r="C1760" i="1"/>
  <c r="D1760" i="1"/>
  <c r="E1760" i="1"/>
  <c r="F1760" i="1"/>
  <c r="G1760" i="1"/>
  <c r="H1760" i="1"/>
  <c r="I1760" i="1"/>
  <c r="J1760" i="1"/>
  <c r="M1760" i="1"/>
  <c r="N1760" i="1"/>
  <c r="O1760" i="1"/>
  <c r="Q1760" i="1"/>
  <c r="R1760" i="1"/>
  <c r="S1760" i="1"/>
  <c r="T1760" i="1"/>
  <c r="U1760" i="1"/>
  <c r="A1762" i="1"/>
  <c r="B1762" i="1"/>
  <c r="C1762" i="1"/>
  <c r="D1762" i="1"/>
  <c r="E1762" i="1"/>
  <c r="F1762" i="1"/>
  <c r="G1762" i="1"/>
  <c r="H1762" i="1"/>
  <c r="I1762" i="1"/>
  <c r="J1762" i="1"/>
  <c r="M1762" i="1"/>
  <c r="N1762" i="1"/>
  <c r="O1762" i="1"/>
  <c r="P1762" i="1"/>
  <c r="Q1762" i="1"/>
  <c r="R1762" i="1"/>
  <c r="S1762" i="1"/>
  <c r="T1762" i="1"/>
  <c r="U1762" i="1"/>
  <c r="A1695" i="1"/>
  <c r="B1695" i="1"/>
  <c r="C1695" i="1"/>
  <c r="D1695" i="1"/>
  <c r="E1695" i="1"/>
  <c r="F1695" i="1"/>
  <c r="G1695" i="1"/>
  <c r="H1695" i="1"/>
  <c r="I1695" i="1"/>
  <c r="J1695" i="1"/>
  <c r="M1695" i="1"/>
  <c r="N1695" i="1"/>
  <c r="O1695" i="1"/>
  <c r="P1695" i="1"/>
  <c r="Q1695" i="1"/>
  <c r="R1695" i="1"/>
  <c r="S1695" i="1"/>
  <c r="T1695" i="1"/>
  <c r="U1695" i="1"/>
  <c r="A1696" i="1"/>
  <c r="B1696" i="1"/>
  <c r="C1696" i="1"/>
  <c r="D1696" i="1"/>
  <c r="E1696" i="1"/>
  <c r="F1696" i="1"/>
  <c r="G1696" i="1"/>
  <c r="H1696" i="1"/>
  <c r="I1696" i="1"/>
  <c r="J1696" i="1"/>
  <c r="M1696" i="1"/>
  <c r="N1696" i="1"/>
  <c r="O1696" i="1"/>
  <c r="P1696" i="1"/>
  <c r="Q1696" i="1"/>
  <c r="R1696" i="1"/>
  <c r="S1696" i="1"/>
  <c r="T1696" i="1"/>
  <c r="U1696" i="1"/>
  <c r="A1697" i="1"/>
  <c r="B1697" i="1"/>
  <c r="C1697" i="1"/>
  <c r="D1697" i="1"/>
  <c r="E1697" i="1"/>
  <c r="F1697" i="1"/>
  <c r="G1697" i="1"/>
  <c r="H1697" i="1"/>
  <c r="I1697" i="1"/>
  <c r="J1697" i="1"/>
  <c r="M1697" i="1"/>
  <c r="N1697" i="1"/>
  <c r="O1697" i="1"/>
  <c r="P1697" i="1"/>
  <c r="Q1697" i="1"/>
  <c r="R1697" i="1"/>
  <c r="S1697" i="1"/>
  <c r="T1697" i="1"/>
  <c r="U1697" i="1"/>
  <c r="A1701" i="1"/>
  <c r="B1701" i="1"/>
  <c r="C1701" i="1"/>
  <c r="D1701" i="1"/>
  <c r="E1701" i="1"/>
  <c r="F1701" i="1"/>
  <c r="G1701" i="1"/>
  <c r="H1701" i="1"/>
  <c r="I1701" i="1"/>
  <c r="J1701" i="1"/>
  <c r="M1701" i="1"/>
  <c r="N1701" i="1"/>
  <c r="O1701" i="1"/>
  <c r="P1701" i="1"/>
  <c r="Q1701" i="1"/>
  <c r="R1701" i="1"/>
  <c r="S1701" i="1"/>
  <c r="T1701" i="1"/>
  <c r="U1701" i="1"/>
  <c r="A1702" i="1"/>
  <c r="B1702" i="1"/>
  <c r="C1702" i="1"/>
  <c r="D1702" i="1"/>
  <c r="E1702" i="1"/>
  <c r="F1702" i="1"/>
  <c r="G1702" i="1"/>
  <c r="H1702" i="1"/>
  <c r="I1702" i="1"/>
  <c r="J1702" i="1"/>
  <c r="M1702" i="1"/>
  <c r="N1702" i="1"/>
  <c r="O1702" i="1"/>
  <c r="P1702" i="1"/>
  <c r="Q1702" i="1"/>
  <c r="R1702" i="1"/>
  <c r="S1702" i="1"/>
  <c r="T1702" i="1"/>
  <c r="U1702" i="1"/>
  <c r="A1698" i="1"/>
  <c r="B1698" i="1"/>
  <c r="C1698" i="1"/>
  <c r="D1698" i="1"/>
  <c r="E1698" i="1"/>
  <c r="F1698" i="1"/>
  <c r="G1698" i="1"/>
  <c r="H1698" i="1"/>
  <c r="I1698" i="1"/>
  <c r="J1698" i="1"/>
  <c r="M1698" i="1"/>
  <c r="N1698" i="1"/>
  <c r="O1698" i="1"/>
  <c r="P1698" i="1"/>
  <c r="Q1698" i="1"/>
  <c r="R1698" i="1"/>
  <c r="S1698" i="1"/>
  <c r="T1698" i="1"/>
  <c r="U1698" i="1"/>
  <c r="A1699" i="1"/>
  <c r="B1699" i="1"/>
  <c r="C1699" i="1"/>
  <c r="D1699" i="1"/>
  <c r="E1699" i="1"/>
  <c r="F1699" i="1"/>
  <c r="G1699" i="1"/>
  <c r="H1699" i="1"/>
  <c r="I1699" i="1"/>
  <c r="J1699" i="1"/>
  <c r="M1699" i="1"/>
  <c r="N1699" i="1"/>
  <c r="O1699" i="1"/>
  <c r="P1699" i="1"/>
  <c r="Q1699" i="1"/>
  <c r="R1699" i="1"/>
  <c r="S1699" i="1"/>
  <c r="T1699" i="1"/>
  <c r="U1699" i="1"/>
  <c r="A1700" i="1"/>
  <c r="B1700" i="1"/>
  <c r="C1700" i="1"/>
  <c r="D1700" i="1"/>
  <c r="E1700" i="1"/>
  <c r="F1700" i="1"/>
  <c r="G1700" i="1"/>
  <c r="H1700" i="1"/>
  <c r="I1700" i="1"/>
  <c r="J1700" i="1"/>
  <c r="M1700" i="1"/>
  <c r="N1700" i="1"/>
  <c r="O1700" i="1"/>
  <c r="P1700" i="1"/>
  <c r="Q1700" i="1"/>
  <c r="R1700" i="1"/>
  <c r="S1700" i="1"/>
  <c r="T1700" i="1"/>
  <c r="U1700" i="1"/>
  <c r="A1694" i="1"/>
  <c r="B1694" i="1"/>
  <c r="C1694" i="1"/>
  <c r="D1694" i="1"/>
  <c r="E1694" i="1"/>
  <c r="F1694" i="1"/>
  <c r="G1694" i="1"/>
  <c r="H1694" i="1"/>
  <c r="I1694" i="1"/>
  <c r="J1694" i="1"/>
  <c r="M1694" i="1"/>
  <c r="N1694" i="1"/>
  <c r="O1694" i="1"/>
  <c r="Q1694" i="1"/>
  <c r="R1694" i="1"/>
  <c r="S1694" i="1"/>
  <c r="T1694" i="1"/>
  <c r="U1694" i="1"/>
  <c r="A1628" i="1"/>
  <c r="B1628" i="1"/>
  <c r="C1628" i="1"/>
  <c r="D1628" i="1"/>
  <c r="E1628" i="1"/>
  <c r="F1628" i="1"/>
  <c r="G1628" i="1"/>
  <c r="H1628" i="1"/>
  <c r="I1628" i="1"/>
  <c r="J1628" i="1"/>
  <c r="M1628" i="1"/>
  <c r="N1628" i="1"/>
  <c r="O1628" i="1"/>
  <c r="P1628" i="1"/>
  <c r="Q1628" i="1"/>
  <c r="R1628" i="1"/>
  <c r="S1628" i="1"/>
  <c r="T1628" i="1"/>
  <c r="U1628" i="1"/>
  <c r="A1629" i="1"/>
  <c r="B1629" i="1"/>
  <c r="C1629" i="1"/>
  <c r="D1629" i="1"/>
  <c r="E1629" i="1"/>
  <c r="F1629" i="1"/>
  <c r="G1629" i="1"/>
  <c r="H1629" i="1"/>
  <c r="I1629" i="1"/>
  <c r="J1629" i="1"/>
  <c r="M1629" i="1"/>
  <c r="N1629" i="1"/>
  <c r="O1629" i="1"/>
  <c r="P1629" i="1"/>
  <c r="Q1629" i="1"/>
  <c r="R1629" i="1"/>
  <c r="S1629" i="1"/>
  <c r="T1629" i="1"/>
  <c r="U1629" i="1"/>
  <c r="A1429" i="1"/>
  <c r="B1429" i="1"/>
  <c r="C1429" i="1"/>
  <c r="D1429" i="1"/>
  <c r="E1429" i="1"/>
  <c r="F1429" i="1"/>
  <c r="G1429" i="1"/>
  <c r="H1429" i="1"/>
  <c r="I1429" i="1"/>
  <c r="J1429" i="1"/>
  <c r="M1429" i="1"/>
  <c r="N1429" i="1"/>
  <c r="O1429" i="1"/>
  <c r="P1429" i="1"/>
  <c r="Q1429" i="1"/>
  <c r="R1429" i="1"/>
  <c r="S1429" i="1"/>
  <c r="T1429" i="1"/>
  <c r="U1429" i="1"/>
  <c r="A1430" i="1"/>
  <c r="B1430" i="1"/>
  <c r="C1430" i="1"/>
  <c r="D1430" i="1"/>
  <c r="E1430" i="1"/>
  <c r="F1430" i="1"/>
  <c r="G1430" i="1"/>
  <c r="H1430" i="1"/>
  <c r="I1430" i="1"/>
  <c r="J1430" i="1"/>
  <c r="M1430" i="1"/>
  <c r="N1430" i="1"/>
  <c r="O1430" i="1"/>
  <c r="P1430" i="1"/>
  <c r="Q1430" i="1"/>
  <c r="R1430" i="1"/>
  <c r="S1430" i="1"/>
  <c r="T1430" i="1"/>
  <c r="U1430" i="1"/>
  <c r="A1365" i="1"/>
  <c r="B1365" i="1"/>
  <c r="C1365" i="1"/>
  <c r="D1365" i="1"/>
  <c r="E1365" i="1"/>
  <c r="F1365" i="1"/>
  <c r="G1365" i="1"/>
  <c r="H1365" i="1"/>
  <c r="I1365" i="1"/>
  <c r="J1365" i="1"/>
  <c r="M1365" i="1"/>
  <c r="N1365" i="1"/>
  <c r="O1365" i="1"/>
  <c r="P1365" i="1"/>
  <c r="Q1365" i="1"/>
  <c r="R1365" i="1"/>
  <c r="S1365" i="1"/>
  <c r="T1365" i="1"/>
  <c r="U1365" i="1"/>
  <c r="A1360" i="1"/>
  <c r="B1360" i="1"/>
  <c r="C1360" i="1"/>
  <c r="D1360" i="1"/>
  <c r="E1360" i="1"/>
  <c r="F1360" i="1"/>
  <c r="G1360" i="1"/>
  <c r="H1360" i="1"/>
  <c r="I1360" i="1"/>
  <c r="J1360" i="1"/>
  <c r="M1360" i="1"/>
  <c r="N1360" i="1"/>
  <c r="O1360" i="1"/>
  <c r="P1360" i="1"/>
  <c r="Q1360" i="1"/>
  <c r="R1360" i="1"/>
  <c r="S1360" i="1"/>
  <c r="T1360" i="1"/>
  <c r="U1360" i="1"/>
  <c r="A1361" i="1"/>
  <c r="B1361" i="1"/>
  <c r="C1361" i="1"/>
  <c r="D1361" i="1"/>
  <c r="E1361" i="1"/>
  <c r="F1361" i="1"/>
  <c r="G1361" i="1"/>
  <c r="H1361" i="1"/>
  <c r="I1361" i="1"/>
  <c r="J1361" i="1"/>
  <c r="M1361" i="1"/>
  <c r="N1361" i="1"/>
  <c r="O1361" i="1"/>
  <c r="P1361" i="1"/>
  <c r="Q1361" i="1"/>
  <c r="R1361" i="1"/>
  <c r="S1361" i="1"/>
  <c r="T1361" i="1"/>
  <c r="U1361" i="1"/>
  <c r="A1362" i="1"/>
  <c r="B1362" i="1"/>
  <c r="C1362" i="1"/>
  <c r="D1362" i="1"/>
  <c r="E1362" i="1"/>
  <c r="F1362" i="1"/>
  <c r="G1362" i="1"/>
  <c r="H1362" i="1"/>
  <c r="I1362" i="1"/>
  <c r="J1362" i="1"/>
  <c r="M1362" i="1"/>
  <c r="N1362" i="1"/>
  <c r="O1362" i="1"/>
  <c r="P1362" i="1"/>
  <c r="Q1362" i="1"/>
  <c r="R1362" i="1"/>
  <c r="S1362" i="1"/>
  <c r="T1362" i="1"/>
  <c r="U1362" i="1"/>
  <c r="A1363" i="1"/>
  <c r="B1363" i="1"/>
  <c r="C1363" i="1"/>
  <c r="D1363" i="1"/>
  <c r="E1363" i="1"/>
  <c r="F1363" i="1"/>
  <c r="G1363" i="1"/>
  <c r="H1363" i="1"/>
  <c r="I1363" i="1"/>
  <c r="J1363" i="1"/>
  <c r="M1363" i="1"/>
  <c r="N1363" i="1"/>
  <c r="O1363" i="1"/>
  <c r="P1363" i="1"/>
  <c r="Q1363" i="1"/>
  <c r="R1363" i="1"/>
  <c r="S1363" i="1"/>
  <c r="T1363" i="1"/>
  <c r="U1363" i="1"/>
  <c r="A1364" i="1"/>
  <c r="B1364" i="1"/>
  <c r="C1364" i="1"/>
  <c r="D1364" i="1"/>
  <c r="E1364" i="1"/>
  <c r="F1364" i="1"/>
  <c r="G1364" i="1"/>
  <c r="H1364" i="1"/>
  <c r="I1364" i="1"/>
  <c r="J1364" i="1"/>
  <c r="M1364" i="1"/>
  <c r="N1364" i="1"/>
  <c r="O1364" i="1"/>
  <c r="P1364" i="1"/>
  <c r="Q1364" i="1"/>
  <c r="R1364" i="1"/>
  <c r="S1364" i="1"/>
  <c r="T1364" i="1"/>
  <c r="U1364" i="1"/>
  <c r="A1281" i="1"/>
  <c r="B1281" i="1"/>
  <c r="C1281" i="1"/>
  <c r="D1281" i="1"/>
  <c r="E1281" i="1"/>
  <c r="F1281" i="1"/>
  <c r="G1281" i="1"/>
  <c r="H1281" i="1"/>
  <c r="I1281" i="1"/>
  <c r="J1281" i="1"/>
  <c r="M1281" i="1"/>
  <c r="N1281" i="1"/>
  <c r="O1281" i="1"/>
  <c r="P1281" i="1"/>
  <c r="Q1281" i="1"/>
  <c r="R1281" i="1"/>
  <c r="S1281" i="1"/>
  <c r="T1281" i="1"/>
  <c r="U1281" i="1"/>
  <c r="A1282" i="1"/>
  <c r="B1282" i="1"/>
  <c r="C1282" i="1"/>
  <c r="D1282" i="1"/>
  <c r="E1282" i="1"/>
  <c r="F1282" i="1"/>
  <c r="G1282" i="1"/>
  <c r="H1282" i="1"/>
  <c r="I1282" i="1"/>
  <c r="J1282" i="1"/>
  <c r="M1282" i="1"/>
  <c r="N1282" i="1"/>
  <c r="O1282" i="1"/>
  <c r="P1282" i="1"/>
  <c r="Q1282" i="1"/>
  <c r="R1282" i="1"/>
  <c r="S1282" i="1"/>
  <c r="T1282" i="1"/>
  <c r="U1282" i="1"/>
  <c r="A1283" i="1"/>
  <c r="B1283" i="1"/>
  <c r="C1283" i="1"/>
  <c r="D1283" i="1"/>
  <c r="E1283" i="1"/>
  <c r="F1283" i="1"/>
  <c r="G1283" i="1"/>
  <c r="H1283" i="1"/>
  <c r="I1283" i="1"/>
  <c r="J1283" i="1"/>
  <c r="M1283" i="1"/>
  <c r="N1283" i="1"/>
  <c r="O1283" i="1"/>
  <c r="P1283" i="1"/>
  <c r="Q1283" i="1"/>
  <c r="R1283" i="1"/>
  <c r="S1283" i="1"/>
  <c r="T1283" i="1"/>
  <c r="U1283" i="1"/>
  <c r="A1284" i="1"/>
  <c r="B1284" i="1"/>
  <c r="C1284" i="1"/>
  <c r="D1284" i="1"/>
  <c r="E1284" i="1"/>
  <c r="F1284" i="1"/>
  <c r="G1284" i="1"/>
  <c r="H1284" i="1"/>
  <c r="I1284" i="1"/>
  <c r="J1284" i="1"/>
  <c r="M1284" i="1"/>
  <c r="N1284" i="1"/>
  <c r="O1284" i="1"/>
  <c r="P1284" i="1"/>
  <c r="Q1284" i="1"/>
  <c r="R1284" i="1"/>
  <c r="S1284" i="1"/>
  <c r="T1284" i="1"/>
  <c r="U1284" i="1"/>
  <c r="A1285" i="1"/>
  <c r="B1285" i="1"/>
  <c r="C1285" i="1"/>
  <c r="D1285" i="1"/>
  <c r="E1285" i="1"/>
  <c r="F1285" i="1"/>
  <c r="G1285" i="1"/>
  <c r="H1285" i="1"/>
  <c r="I1285" i="1"/>
  <c r="J1285" i="1"/>
  <c r="M1285" i="1"/>
  <c r="N1285" i="1"/>
  <c r="O1285" i="1"/>
  <c r="P1285" i="1"/>
  <c r="Q1285" i="1"/>
  <c r="R1285" i="1"/>
  <c r="S1285" i="1"/>
  <c r="T1285" i="1"/>
  <c r="U1285" i="1"/>
  <c r="A1286" i="1"/>
  <c r="B1286" i="1"/>
  <c r="C1286" i="1"/>
  <c r="D1286" i="1"/>
  <c r="E1286" i="1"/>
  <c r="F1286" i="1"/>
  <c r="G1286" i="1"/>
  <c r="H1286" i="1"/>
  <c r="I1286" i="1"/>
  <c r="J1286" i="1"/>
  <c r="M1286" i="1"/>
  <c r="N1286" i="1"/>
  <c r="O1286" i="1"/>
  <c r="P1286" i="1"/>
  <c r="Q1286" i="1"/>
  <c r="R1286" i="1"/>
  <c r="S1286" i="1"/>
  <c r="T1286" i="1"/>
  <c r="U1286" i="1"/>
  <c r="A1214" i="1"/>
  <c r="B1214" i="1"/>
  <c r="C1214" i="1"/>
  <c r="D1214" i="1"/>
  <c r="E1214" i="1"/>
  <c r="F1214" i="1"/>
  <c r="G1214" i="1"/>
  <c r="H1214" i="1"/>
  <c r="I1214" i="1"/>
  <c r="J1214" i="1"/>
  <c r="M1214" i="1"/>
  <c r="N1214" i="1"/>
  <c r="O1214" i="1"/>
  <c r="P1214" i="1"/>
  <c r="Q1214" i="1"/>
  <c r="R1214" i="1"/>
  <c r="S1214" i="1"/>
  <c r="T1214" i="1"/>
  <c r="U1214" i="1"/>
  <c r="A1215" i="1"/>
  <c r="B1215" i="1"/>
  <c r="C1215" i="1"/>
  <c r="D1215" i="1"/>
  <c r="E1215" i="1"/>
  <c r="F1215" i="1"/>
  <c r="G1215" i="1"/>
  <c r="H1215" i="1"/>
  <c r="I1215" i="1"/>
  <c r="J1215" i="1"/>
  <c r="M1215" i="1"/>
  <c r="N1215" i="1"/>
  <c r="O1215" i="1"/>
  <c r="P1215" i="1"/>
  <c r="Q1215" i="1"/>
  <c r="R1215" i="1"/>
  <c r="S1215" i="1"/>
  <c r="T1215" i="1"/>
  <c r="U1215" i="1"/>
  <c r="A1216" i="1"/>
  <c r="B1216" i="1"/>
  <c r="C1216" i="1"/>
  <c r="D1216" i="1"/>
  <c r="E1216" i="1"/>
  <c r="F1216" i="1"/>
  <c r="G1216" i="1"/>
  <c r="H1216" i="1"/>
  <c r="I1216" i="1"/>
  <c r="J1216" i="1"/>
  <c r="M1216" i="1"/>
  <c r="N1216" i="1"/>
  <c r="O1216" i="1"/>
  <c r="P1216" i="1"/>
  <c r="Q1216" i="1"/>
  <c r="R1216" i="1"/>
  <c r="S1216" i="1"/>
  <c r="T1216" i="1"/>
  <c r="U1216" i="1"/>
  <c r="A1217" i="1"/>
  <c r="B1217" i="1"/>
  <c r="C1217" i="1"/>
  <c r="D1217" i="1"/>
  <c r="E1217" i="1"/>
  <c r="F1217" i="1"/>
  <c r="G1217" i="1"/>
  <c r="H1217" i="1"/>
  <c r="I1217" i="1"/>
  <c r="J1217" i="1"/>
  <c r="M1217" i="1"/>
  <c r="N1217" i="1"/>
  <c r="O1217" i="1"/>
  <c r="P1217" i="1"/>
  <c r="Q1217" i="1"/>
  <c r="R1217" i="1"/>
  <c r="S1217" i="1"/>
  <c r="T1217" i="1"/>
  <c r="U1217" i="1"/>
  <c r="A1218" i="1"/>
  <c r="B1218" i="1"/>
  <c r="C1218" i="1"/>
  <c r="D1218" i="1"/>
  <c r="E1218" i="1"/>
  <c r="F1218" i="1"/>
  <c r="G1218" i="1"/>
  <c r="H1218" i="1"/>
  <c r="I1218" i="1"/>
  <c r="J1218" i="1"/>
  <c r="M1218" i="1"/>
  <c r="N1218" i="1"/>
  <c r="O1218" i="1"/>
  <c r="P1218" i="1"/>
  <c r="Q1218" i="1"/>
  <c r="R1218" i="1"/>
  <c r="S1218" i="1"/>
  <c r="T1218" i="1"/>
  <c r="U1218" i="1"/>
  <c r="A1165" i="1"/>
  <c r="B1165" i="1"/>
  <c r="C1165" i="1"/>
  <c r="D1165" i="1"/>
  <c r="E1165" i="1"/>
  <c r="F1165" i="1"/>
  <c r="G1165" i="1"/>
  <c r="H1165" i="1"/>
  <c r="I1165" i="1"/>
  <c r="J1165" i="1"/>
  <c r="M1165" i="1"/>
  <c r="N1165" i="1"/>
  <c r="O1165" i="1"/>
  <c r="Q1165" i="1"/>
  <c r="R1165" i="1"/>
  <c r="S1165" i="1"/>
  <c r="T1165" i="1"/>
  <c r="U1165" i="1"/>
  <c r="A972" i="1"/>
  <c r="B972" i="1"/>
  <c r="C972" i="1"/>
  <c r="D972" i="1"/>
  <c r="E972" i="1"/>
  <c r="F972" i="1"/>
  <c r="G972" i="1"/>
  <c r="H972" i="1"/>
  <c r="I972" i="1"/>
  <c r="J972" i="1"/>
  <c r="M972" i="1"/>
  <c r="N972" i="1"/>
  <c r="O972" i="1"/>
  <c r="P972" i="1"/>
  <c r="Q972" i="1"/>
  <c r="R972" i="1"/>
  <c r="S972" i="1"/>
  <c r="T972" i="1"/>
  <c r="U972" i="1"/>
  <c r="A973" i="1"/>
  <c r="B973" i="1"/>
  <c r="C973" i="1"/>
  <c r="D973" i="1"/>
  <c r="E973" i="1"/>
  <c r="F973" i="1"/>
  <c r="G973" i="1"/>
  <c r="H973" i="1"/>
  <c r="I973" i="1"/>
  <c r="J973" i="1"/>
  <c r="M973" i="1"/>
  <c r="N973" i="1"/>
  <c r="O973" i="1"/>
  <c r="P973" i="1"/>
  <c r="Q973" i="1"/>
  <c r="R973" i="1"/>
  <c r="S973" i="1"/>
  <c r="T973" i="1"/>
  <c r="U973" i="1"/>
  <c r="A974" i="1"/>
  <c r="B974" i="1"/>
  <c r="C974" i="1"/>
  <c r="D974" i="1"/>
  <c r="E974" i="1"/>
  <c r="F974" i="1"/>
  <c r="G974" i="1"/>
  <c r="H974" i="1"/>
  <c r="I974" i="1"/>
  <c r="J974" i="1"/>
  <c r="M974" i="1"/>
  <c r="N974" i="1"/>
  <c r="O974" i="1"/>
  <c r="P974" i="1"/>
  <c r="Q974" i="1"/>
  <c r="R974" i="1"/>
  <c r="S974" i="1"/>
  <c r="T974" i="1"/>
  <c r="U974" i="1"/>
  <c r="A975" i="1"/>
  <c r="B975" i="1"/>
  <c r="C975" i="1"/>
  <c r="D975" i="1"/>
  <c r="E975" i="1"/>
  <c r="F975" i="1"/>
  <c r="G975" i="1"/>
  <c r="H975" i="1"/>
  <c r="I975" i="1"/>
  <c r="J975" i="1"/>
  <c r="M975" i="1"/>
  <c r="N975" i="1"/>
  <c r="O975" i="1"/>
  <c r="P975" i="1"/>
  <c r="Q975" i="1"/>
  <c r="R975" i="1"/>
  <c r="S975" i="1"/>
  <c r="T975" i="1"/>
  <c r="U975" i="1"/>
  <c r="A902" i="1"/>
  <c r="B902" i="1"/>
  <c r="C902" i="1"/>
  <c r="D902" i="1"/>
  <c r="E902" i="1"/>
  <c r="F902" i="1"/>
  <c r="G902" i="1"/>
  <c r="H902" i="1"/>
  <c r="I902" i="1"/>
  <c r="J902" i="1"/>
  <c r="M902" i="1"/>
  <c r="N902" i="1"/>
  <c r="O902" i="1"/>
  <c r="P902" i="1"/>
  <c r="Q902" i="1"/>
  <c r="R902" i="1"/>
  <c r="S902" i="1"/>
  <c r="T902" i="1"/>
  <c r="U902" i="1"/>
  <c r="A826" i="1"/>
  <c r="B826" i="1"/>
  <c r="C826" i="1"/>
  <c r="D826" i="1"/>
  <c r="E826" i="1"/>
  <c r="F826" i="1"/>
  <c r="G826" i="1"/>
  <c r="H826" i="1"/>
  <c r="I826" i="1"/>
  <c r="J826" i="1"/>
  <c r="M826" i="1"/>
  <c r="N826" i="1"/>
  <c r="O826" i="1"/>
  <c r="P826" i="1"/>
  <c r="Q826" i="1"/>
  <c r="R826" i="1"/>
  <c r="S826" i="1"/>
  <c r="T826" i="1"/>
  <c r="U826" i="1"/>
  <c r="A827" i="1"/>
  <c r="B827" i="1"/>
  <c r="C827" i="1"/>
  <c r="D827" i="1"/>
  <c r="E827" i="1"/>
  <c r="F827" i="1"/>
  <c r="G827" i="1"/>
  <c r="H827" i="1"/>
  <c r="I827" i="1"/>
  <c r="J827" i="1"/>
  <c r="M827" i="1"/>
  <c r="N827" i="1"/>
  <c r="O827" i="1"/>
  <c r="P827" i="1"/>
  <c r="Q827" i="1"/>
  <c r="R827" i="1"/>
  <c r="S827" i="1"/>
  <c r="T827" i="1"/>
  <c r="U827" i="1"/>
  <c r="A828" i="1"/>
  <c r="B828" i="1"/>
  <c r="C828" i="1"/>
  <c r="D828" i="1"/>
  <c r="E828" i="1"/>
  <c r="F828" i="1"/>
  <c r="G828" i="1"/>
  <c r="H828" i="1"/>
  <c r="I828" i="1"/>
  <c r="J828" i="1"/>
  <c r="M828" i="1"/>
  <c r="N828" i="1"/>
  <c r="O828" i="1"/>
  <c r="P828" i="1"/>
  <c r="Q828" i="1"/>
  <c r="R828" i="1"/>
  <c r="S828" i="1"/>
  <c r="T828" i="1"/>
  <c r="U828" i="1"/>
  <c r="A829" i="1"/>
  <c r="B829" i="1"/>
  <c r="C829" i="1"/>
  <c r="D829" i="1"/>
  <c r="E829" i="1"/>
  <c r="F829" i="1"/>
  <c r="G829" i="1"/>
  <c r="H829" i="1"/>
  <c r="I829" i="1"/>
  <c r="J829" i="1"/>
  <c r="M829" i="1"/>
  <c r="N829" i="1"/>
  <c r="O829" i="1"/>
  <c r="P829" i="1"/>
  <c r="Q829" i="1"/>
  <c r="R829" i="1"/>
  <c r="S829" i="1"/>
  <c r="T829" i="1"/>
  <c r="U829" i="1"/>
  <c r="A772" i="1"/>
  <c r="B772" i="1"/>
  <c r="C772" i="1"/>
  <c r="D772" i="1"/>
  <c r="E772" i="1"/>
  <c r="F772" i="1"/>
  <c r="G772" i="1"/>
  <c r="H772" i="1"/>
  <c r="I772" i="1"/>
  <c r="J772" i="1"/>
  <c r="M772" i="1"/>
  <c r="N772" i="1"/>
  <c r="O772" i="1"/>
  <c r="P772" i="1"/>
  <c r="Q772" i="1"/>
  <c r="R772" i="1"/>
  <c r="S772" i="1"/>
  <c r="T772" i="1"/>
  <c r="U772" i="1"/>
  <c r="A773" i="1"/>
  <c r="B773" i="1"/>
  <c r="C773" i="1"/>
  <c r="D773" i="1"/>
  <c r="E773" i="1"/>
  <c r="F773" i="1"/>
  <c r="G773" i="1"/>
  <c r="H773" i="1"/>
  <c r="I773" i="1"/>
  <c r="J773" i="1"/>
  <c r="M773" i="1"/>
  <c r="N773" i="1"/>
  <c r="O773" i="1"/>
  <c r="P773" i="1"/>
  <c r="Q773" i="1"/>
  <c r="R773" i="1"/>
  <c r="S773" i="1"/>
  <c r="T773" i="1"/>
  <c r="U773" i="1"/>
  <c r="A775" i="1"/>
  <c r="B775" i="1"/>
  <c r="C775" i="1"/>
  <c r="D775" i="1"/>
  <c r="E775" i="1"/>
  <c r="F775" i="1"/>
  <c r="G775" i="1"/>
  <c r="H775" i="1"/>
  <c r="I775" i="1"/>
  <c r="J775" i="1"/>
  <c r="M775" i="1"/>
  <c r="N775" i="1"/>
  <c r="O775" i="1"/>
  <c r="P775" i="1"/>
  <c r="Q775" i="1"/>
  <c r="R775" i="1"/>
  <c r="S775" i="1"/>
  <c r="T775" i="1"/>
  <c r="U775" i="1"/>
  <c r="A774" i="1"/>
  <c r="B774" i="1"/>
  <c r="C774" i="1"/>
  <c r="D774" i="1"/>
  <c r="E774" i="1"/>
  <c r="F774" i="1"/>
  <c r="G774" i="1"/>
  <c r="H774" i="1"/>
  <c r="I774" i="1"/>
  <c r="J774" i="1"/>
  <c r="M774" i="1"/>
  <c r="N774" i="1"/>
  <c r="O774" i="1"/>
  <c r="P774" i="1"/>
  <c r="Q774" i="1"/>
  <c r="R774" i="1"/>
  <c r="S774" i="1"/>
  <c r="T774" i="1"/>
  <c r="U774" i="1"/>
  <c r="A729" i="1"/>
  <c r="B729" i="1"/>
  <c r="C729" i="1"/>
  <c r="D729" i="1"/>
  <c r="E729" i="1"/>
  <c r="F729" i="1"/>
  <c r="G729" i="1"/>
  <c r="H729" i="1"/>
  <c r="I729" i="1"/>
  <c r="J729" i="1"/>
  <c r="M729" i="1"/>
  <c r="N729" i="1"/>
  <c r="O729" i="1"/>
  <c r="P729" i="1"/>
  <c r="Q729" i="1"/>
  <c r="R729" i="1"/>
  <c r="S729" i="1"/>
  <c r="T729" i="1"/>
  <c r="U729" i="1"/>
  <c r="A730" i="1"/>
  <c r="B730" i="1"/>
  <c r="C730" i="1"/>
  <c r="D730" i="1"/>
  <c r="E730" i="1"/>
  <c r="F730" i="1"/>
  <c r="G730" i="1"/>
  <c r="H730" i="1"/>
  <c r="I730" i="1"/>
  <c r="J730" i="1"/>
  <c r="M730" i="1"/>
  <c r="N730" i="1"/>
  <c r="O730" i="1"/>
  <c r="P730" i="1"/>
  <c r="Q730" i="1"/>
  <c r="R730" i="1"/>
  <c r="S730" i="1"/>
  <c r="T730" i="1"/>
  <c r="U730" i="1"/>
  <c r="A731" i="1"/>
  <c r="B731" i="1"/>
  <c r="C731" i="1"/>
  <c r="D731" i="1"/>
  <c r="E731" i="1"/>
  <c r="F731" i="1"/>
  <c r="G731" i="1"/>
  <c r="H731" i="1"/>
  <c r="I731" i="1"/>
  <c r="J731" i="1"/>
  <c r="M731" i="1"/>
  <c r="N731" i="1"/>
  <c r="O731" i="1"/>
  <c r="P731" i="1"/>
  <c r="Q731" i="1"/>
  <c r="R731" i="1"/>
  <c r="S731" i="1"/>
  <c r="T731" i="1"/>
  <c r="U731" i="1"/>
  <c r="A732" i="1"/>
  <c r="B732" i="1"/>
  <c r="C732" i="1"/>
  <c r="D732" i="1"/>
  <c r="E732" i="1"/>
  <c r="F732" i="1"/>
  <c r="G732" i="1"/>
  <c r="H732" i="1"/>
  <c r="I732" i="1"/>
  <c r="J732" i="1"/>
  <c r="M732" i="1"/>
  <c r="N732" i="1"/>
  <c r="O732" i="1"/>
  <c r="P732" i="1"/>
  <c r="Q732" i="1"/>
  <c r="R732" i="1"/>
  <c r="S732" i="1"/>
  <c r="T732" i="1"/>
  <c r="U732" i="1"/>
  <c r="A555" i="1"/>
  <c r="B555" i="1"/>
  <c r="C555" i="1"/>
  <c r="D555" i="1"/>
  <c r="E555" i="1"/>
  <c r="F555" i="1"/>
  <c r="G555" i="1"/>
  <c r="H555" i="1"/>
  <c r="I555" i="1"/>
  <c r="J555" i="1"/>
  <c r="M555" i="1"/>
  <c r="N555" i="1"/>
  <c r="O555" i="1"/>
  <c r="P555" i="1"/>
  <c r="Q555" i="1"/>
  <c r="R555" i="1"/>
  <c r="S555" i="1"/>
  <c r="T555" i="1"/>
  <c r="U555" i="1"/>
  <c r="A556" i="1"/>
  <c r="B556" i="1"/>
  <c r="C556" i="1"/>
  <c r="D556" i="1"/>
  <c r="E556" i="1"/>
  <c r="F556" i="1"/>
  <c r="G556" i="1"/>
  <c r="H556" i="1"/>
  <c r="I556" i="1"/>
  <c r="J556" i="1"/>
  <c r="M556" i="1"/>
  <c r="N556" i="1"/>
  <c r="O556" i="1"/>
  <c r="P556" i="1"/>
  <c r="Q556" i="1"/>
  <c r="R556" i="1"/>
  <c r="S556" i="1"/>
  <c r="T556" i="1"/>
  <c r="U556" i="1"/>
  <c r="A557" i="1"/>
  <c r="B557" i="1"/>
  <c r="C557" i="1"/>
  <c r="D557" i="1"/>
  <c r="E557" i="1"/>
  <c r="F557" i="1"/>
  <c r="G557" i="1"/>
  <c r="H557" i="1"/>
  <c r="I557" i="1"/>
  <c r="J557" i="1"/>
  <c r="M557" i="1"/>
  <c r="N557" i="1"/>
  <c r="O557" i="1"/>
  <c r="P557" i="1"/>
  <c r="Q557" i="1"/>
  <c r="R557" i="1"/>
  <c r="S557" i="1"/>
  <c r="T557" i="1"/>
  <c r="U557" i="1"/>
  <c r="A558" i="1"/>
  <c r="B558" i="1"/>
  <c r="C558" i="1"/>
  <c r="D558" i="1"/>
  <c r="E558" i="1"/>
  <c r="F558" i="1"/>
  <c r="G558" i="1"/>
  <c r="H558" i="1"/>
  <c r="I558" i="1"/>
  <c r="J558" i="1"/>
  <c r="M558" i="1"/>
  <c r="N558" i="1"/>
  <c r="O558" i="1"/>
  <c r="P558" i="1"/>
  <c r="Q558" i="1"/>
  <c r="R558" i="1"/>
  <c r="S558" i="1"/>
  <c r="T558" i="1"/>
  <c r="U558" i="1"/>
  <c r="A559" i="1"/>
  <c r="B559" i="1"/>
  <c r="C559" i="1"/>
  <c r="D559" i="1"/>
  <c r="E559" i="1"/>
  <c r="F559" i="1"/>
  <c r="G559" i="1"/>
  <c r="H559" i="1"/>
  <c r="I559" i="1"/>
  <c r="J559" i="1"/>
  <c r="M559" i="1"/>
  <c r="N559" i="1"/>
  <c r="O559" i="1"/>
  <c r="P559" i="1"/>
  <c r="Q559" i="1"/>
  <c r="R559" i="1"/>
  <c r="S559" i="1"/>
  <c r="T559" i="1"/>
  <c r="U559" i="1"/>
  <c r="A561" i="1"/>
  <c r="B561" i="1"/>
  <c r="C561" i="1"/>
  <c r="D561" i="1"/>
  <c r="E561" i="1"/>
  <c r="F561" i="1"/>
  <c r="G561" i="1"/>
  <c r="H561" i="1"/>
  <c r="I561" i="1"/>
  <c r="J561" i="1"/>
  <c r="M561" i="1"/>
  <c r="N561" i="1"/>
  <c r="O561" i="1"/>
  <c r="P561" i="1"/>
  <c r="Q561" i="1"/>
  <c r="R561" i="1"/>
  <c r="S561" i="1"/>
  <c r="T561" i="1"/>
  <c r="U561" i="1"/>
  <c r="A562" i="1"/>
  <c r="B562" i="1"/>
  <c r="C562" i="1"/>
  <c r="D562" i="1"/>
  <c r="E562" i="1"/>
  <c r="F562" i="1"/>
  <c r="G562" i="1"/>
  <c r="H562" i="1"/>
  <c r="I562" i="1"/>
  <c r="J562" i="1"/>
  <c r="M562" i="1"/>
  <c r="N562" i="1"/>
  <c r="O562" i="1"/>
  <c r="P562" i="1"/>
  <c r="Q562" i="1"/>
  <c r="R562" i="1"/>
  <c r="S562" i="1"/>
  <c r="T562" i="1"/>
  <c r="U562" i="1"/>
  <c r="A560" i="1"/>
  <c r="B560" i="1"/>
  <c r="C560" i="1"/>
  <c r="D560" i="1"/>
  <c r="E560" i="1"/>
  <c r="F560" i="1"/>
  <c r="G560" i="1"/>
  <c r="H560" i="1"/>
  <c r="I560" i="1"/>
  <c r="J560" i="1"/>
  <c r="M560" i="1"/>
  <c r="N560" i="1"/>
  <c r="O560" i="1"/>
  <c r="P560" i="1"/>
  <c r="Q560" i="1"/>
  <c r="R560" i="1"/>
  <c r="S560" i="1"/>
  <c r="T560" i="1"/>
  <c r="U560" i="1"/>
  <c r="A340" i="1"/>
  <c r="B340" i="1"/>
  <c r="C340" i="1"/>
  <c r="D340" i="1"/>
  <c r="E340" i="1"/>
  <c r="F340" i="1"/>
  <c r="G340" i="1"/>
  <c r="H340" i="1"/>
  <c r="I340" i="1"/>
  <c r="J340" i="1"/>
  <c r="M340" i="1"/>
  <c r="N340" i="1"/>
  <c r="O340" i="1"/>
  <c r="P340" i="1"/>
  <c r="Q340" i="1"/>
  <c r="R340" i="1"/>
  <c r="S340" i="1"/>
  <c r="T340" i="1"/>
  <c r="U340" i="1"/>
  <c r="A341" i="1"/>
  <c r="B341" i="1"/>
  <c r="C341" i="1"/>
  <c r="D341" i="1"/>
  <c r="E341" i="1"/>
  <c r="F341" i="1"/>
  <c r="G341" i="1"/>
  <c r="H341" i="1"/>
  <c r="I341" i="1"/>
  <c r="J341" i="1"/>
  <c r="M341" i="1"/>
  <c r="N341" i="1"/>
  <c r="O341" i="1"/>
  <c r="P341" i="1"/>
  <c r="Q341" i="1"/>
  <c r="R341" i="1"/>
  <c r="S341" i="1"/>
  <c r="T341" i="1"/>
  <c r="U341" i="1"/>
  <c r="A342" i="1"/>
  <c r="B342" i="1"/>
  <c r="C342" i="1"/>
  <c r="D342" i="1"/>
  <c r="E342" i="1"/>
  <c r="F342" i="1"/>
  <c r="G342" i="1"/>
  <c r="H342" i="1"/>
  <c r="I342" i="1"/>
  <c r="J342" i="1"/>
  <c r="M342" i="1"/>
  <c r="N342" i="1"/>
  <c r="O342" i="1"/>
  <c r="P342" i="1"/>
  <c r="Q342" i="1"/>
  <c r="R342" i="1"/>
  <c r="S342" i="1"/>
  <c r="T342" i="1"/>
  <c r="U342" i="1"/>
  <c r="A346" i="1"/>
  <c r="B346" i="1"/>
  <c r="C346" i="1"/>
  <c r="D346" i="1"/>
  <c r="E346" i="1"/>
  <c r="F346" i="1"/>
  <c r="G346" i="1"/>
  <c r="H346" i="1"/>
  <c r="I346" i="1"/>
  <c r="J346" i="1"/>
  <c r="M346" i="1"/>
  <c r="N346" i="1"/>
  <c r="O346" i="1"/>
  <c r="P346" i="1"/>
  <c r="Q346" i="1"/>
  <c r="R346" i="1"/>
  <c r="S346" i="1"/>
  <c r="T346" i="1"/>
  <c r="U346" i="1"/>
  <c r="A343" i="1"/>
  <c r="B343" i="1"/>
  <c r="C343" i="1"/>
  <c r="D343" i="1"/>
  <c r="E343" i="1"/>
  <c r="F343" i="1"/>
  <c r="G343" i="1"/>
  <c r="H343" i="1"/>
  <c r="I343" i="1"/>
  <c r="J343" i="1"/>
  <c r="M343" i="1"/>
  <c r="N343" i="1"/>
  <c r="O343" i="1"/>
  <c r="P343" i="1"/>
  <c r="Q343" i="1"/>
  <c r="R343" i="1"/>
  <c r="S343" i="1"/>
  <c r="T343" i="1"/>
  <c r="U343" i="1"/>
  <c r="A344" i="1"/>
  <c r="B344" i="1"/>
  <c r="C344" i="1"/>
  <c r="D344" i="1"/>
  <c r="E344" i="1"/>
  <c r="F344" i="1"/>
  <c r="G344" i="1"/>
  <c r="H344" i="1"/>
  <c r="I344" i="1"/>
  <c r="J344" i="1"/>
  <c r="M344" i="1"/>
  <c r="N344" i="1"/>
  <c r="O344" i="1"/>
  <c r="P344" i="1"/>
  <c r="Q344" i="1"/>
  <c r="R344" i="1"/>
  <c r="S344" i="1"/>
  <c r="T344" i="1"/>
  <c r="U344" i="1"/>
  <c r="A345" i="1"/>
  <c r="B345" i="1"/>
  <c r="C345" i="1"/>
  <c r="D345" i="1"/>
  <c r="E345" i="1"/>
  <c r="F345" i="1"/>
  <c r="G345" i="1"/>
  <c r="H345" i="1"/>
  <c r="I345" i="1"/>
  <c r="J345" i="1"/>
  <c r="M345" i="1"/>
  <c r="N345" i="1"/>
  <c r="O345" i="1"/>
  <c r="P345" i="1"/>
  <c r="Q345" i="1"/>
  <c r="R345" i="1"/>
  <c r="S345" i="1"/>
  <c r="T345" i="1"/>
  <c r="U345" i="1"/>
  <c r="A294" i="1"/>
  <c r="B294" i="1"/>
  <c r="C294" i="1"/>
  <c r="D294" i="1"/>
  <c r="E294" i="1"/>
  <c r="F294" i="1"/>
  <c r="G294" i="1"/>
  <c r="H294" i="1"/>
  <c r="I294" i="1"/>
  <c r="J294" i="1"/>
  <c r="M294" i="1"/>
  <c r="N294" i="1"/>
  <c r="O294" i="1"/>
  <c r="P294" i="1"/>
  <c r="Q294" i="1"/>
  <c r="R294" i="1"/>
  <c r="S294" i="1"/>
  <c r="T294" i="1"/>
  <c r="U294" i="1"/>
  <c r="A295" i="1"/>
  <c r="B295" i="1"/>
  <c r="C295" i="1"/>
  <c r="D295" i="1"/>
  <c r="E295" i="1"/>
  <c r="F295" i="1"/>
  <c r="G295" i="1"/>
  <c r="H295" i="1"/>
  <c r="I295" i="1"/>
  <c r="J295" i="1"/>
  <c r="M295" i="1"/>
  <c r="N295" i="1"/>
  <c r="O295" i="1"/>
  <c r="P295" i="1"/>
  <c r="Q295" i="1"/>
  <c r="R295" i="1"/>
  <c r="S295" i="1"/>
  <c r="T295" i="1"/>
  <c r="U295" i="1"/>
  <c r="A101" i="1"/>
  <c r="B101" i="1"/>
  <c r="C101" i="1"/>
  <c r="D101" i="1"/>
  <c r="E101" i="1"/>
  <c r="F101" i="1"/>
  <c r="G101" i="1"/>
  <c r="H101" i="1"/>
  <c r="I101" i="1"/>
  <c r="J101" i="1"/>
  <c r="M101" i="1"/>
  <c r="N101" i="1"/>
  <c r="O101" i="1"/>
  <c r="P101" i="1"/>
  <c r="Q101" i="1"/>
  <c r="R101" i="1"/>
  <c r="S101" i="1"/>
  <c r="T101" i="1"/>
  <c r="U101" i="1"/>
  <c r="A53" i="1"/>
  <c r="B53" i="1"/>
  <c r="C53" i="1"/>
  <c r="D53" i="1"/>
  <c r="E53" i="1"/>
  <c r="F53" i="1"/>
  <c r="G53" i="1"/>
  <c r="H53" i="1"/>
  <c r="I53" i="1"/>
  <c r="J53" i="1"/>
  <c r="M53" i="1"/>
  <c r="N53" i="1"/>
  <c r="O53" i="1"/>
  <c r="P53" i="1"/>
  <c r="Q53" i="1"/>
  <c r="R53" i="1"/>
  <c r="S53" i="1"/>
  <c r="T53" i="1"/>
  <c r="U53" i="1"/>
  <c r="A54" i="1"/>
  <c r="B54" i="1"/>
  <c r="C54" i="1"/>
  <c r="D54" i="1"/>
  <c r="E54" i="1"/>
  <c r="F54" i="1"/>
  <c r="G54" i="1"/>
  <c r="H54" i="1"/>
  <c r="I54" i="1"/>
  <c r="J54" i="1"/>
  <c r="M54" i="1"/>
  <c r="N54" i="1"/>
  <c r="O54" i="1"/>
  <c r="P54" i="1"/>
  <c r="Q54" i="1"/>
  <c r="R54" i="1"/>
  <c r="S54" i="1"/>
  <c r="T54" i="1"/>
  <c r="U54" i="1"/>
  <c r="A55" i="1"/>
  <c r="B55" i="1"/>
  <c r="C55" i="1"/>
  <c r="D55" i="1"/>
  <c r="E55" i="1"/>
  <c r="F55" i="1"/>
  <c r="G55" i="1"/>
  <c r="H55" i="1"/>
  <c r="I55" i="1"/>
  <c r="J55" i="1"/>
  <c r="M55" i="1"/>
  <c r="N55" i="1"/>
  <c r="O55" i="1"/>
  <c r="P55" i="1"/>
  <c r="Q55" i="1"/>
  <c r="R55" i="1"/>
  <c r="S55" i="1"/>
  <c r="T55" i="1"/>
  <c r="U55" i="1"/>
  <c r="A1903" i="1"/>
  <c r="B1903" i="1"/>
  <c r="C1903" i="1"/>
  <c r="D1903" i="1"/>
  <c r="E1903" i="1"/>
  <c r="F1903" i="1"/>
  <c r="G1903" i="1"/>
  <c r="H1903" i="1"/>
  <c r="I1903" i="1"/>
  <c r="J1903" i="1"/>
  <c r="M1903" i="1"/>
  <c r="N1903" i="1"/>
  <c r="O1903" i="1"/>
  <c r="P1903" i="1"/>
  <c r="Q1903" i="1"/>
  <c r="R1903" i="1"/>
  <c r="S1903" i="1"/>
  <c r="T1903" i="1"/>
  <c r="U1903" i="1"/>
  <c r="A1909" i="1"/>
  <c r="B1909" i="1"/>
  <c r="C1909" i="1"/>
  <c r="D1909" i="1"/>
  <c r="E1909" i="1"/>
  <c r="F1909" i="1"/>
  <c r="G1909" i="1"/>
  <c r="H1909" i="1"/>
  <c r="I1909" i="1"/>
  <c r="J1909" i="1"/>
  <c r="M1909" i="1"/>
  <c r="N1909" i="1"/>
  <c r="O1909" i="1"/>
  <c r="P1909" i="1"/>
  <c r="Q1909" i="1"/>
  <c r="R1909" i="1"/>
  <c r="S1909" i="1"/>
  <c r="T1909" i="1"/>
  <c r="U1909" i="1"/>
  <c r="A1904" i="1"/>
  <c r="B1904" i="1"/>
  <c r="C1904" i="1"/>
  <c r="D1904" i="1"/>
  <c r="E1904" i="1"/>
  <c r="F1904" i="1"/>
  <c r="G1904" i="1"/>
  <c r="H1904" i="1"/>
  <c r="I1904" i="1"/>
  <c r="J1904" i="1"/>
  <c r="M1904" i="1"/>
  <c r="N1904" i="1"/>
  <c r="O1904" i="1"/>
  <c r="P1904" i="1"/>
  <c r="Q1904" i="1"/>
  <c r="R1904" i="1"/>
  <c r="S1904" i="1"/>
  <c r="T1904" i="1"/>
  <c r="U1904" i="1"/>
  <c r="A1905" i="1"/>
  <c r="B1905" i="1"/>
  <c r="C1905" i="1"/>
  <c r="D1905" i="1"/>
  <c r="E1905" i="1"/>
  <c r="F1905" i="1"/>
  <c r="G1905" i="1"/>
  <c r="H1905" i="1"/>
  <c r="I1905" i="1"/>
  <c r="J1905" i="1"/>
  <c r="M1905" i="1"/>
  <c r="N1905" i="1"/>
  <c r="O1905" i="1"/>
  <c r="P1905" i="1"/>
  <c r="Q1905" i="1"/>
  <c r="R1905" i="1"/>
  <c r="S1905" i="1"/>
  <c r="T1905" i="1"/>
  <c r="U1905" i="1"/>
  <c r="A1906" i="1"/>
  <c r="B1906" i="1"/>
  <c r="C1906" i="1"/>
  <c r="D1906" i="1"/>
  <c r="E1906" i="1"/>
  <c r="F1906" i="1"/>
  <c r="G1906" i="1"/>
  <c r="H1906" i="1"/>
  <c r="I1906" i="1"/>
  <c r="J1906" i="1"/>
  <c r="M1906" i="1"/>
  <c r="N1906" i="1"/>
  <c r="O1906" i="1"/>
  <c r="P1906" i="1"/>
  <c r="Q1906" i="1"/>
  <c r="R1906" i="1"/>
  <c r="S1906" i="1"/>
  <c r="T1906" i="1"/>
  <c r="U1906" i="1"/>
  <c r="A1907" i="1"/>
  <c r="B1907" i="1"/>
  <c r="C1907" i="1"/>
  <c r="D1907" i="1"/>
  <c r="E1907" i="1"/>
  <c r="F1907" i="1"/>
  <c r="G1907" i="1"/>
  <c r="H1907" i="1"/>
  <c r="I1907" i="1"/>
  <c r="J1907" i="1"/>
  <c r="M1907" i="1"/>
  <c r="N1907" i="1"/>
  <c r="O1907" i="1"/>
  <c r="P1907" i="1"/>
  <c r="Q1907" i="1"/>
  <c r="R1907" i="1"/>
  <c r="S1907" i="1"/>
  <c r="T1907" i="1"/>
  <c r="U1907" i="1"/>
  <c r="A1908" i="1"/>
  <c r="B1908" i="1"/>
  <c r="C1908" i="1"/>
  <c r="D1908" i="1"/>
  <c r="E1908" i="1"/>
  <c r="F1908" i="1"/>
  <c r="G1908" i="1"/>
  <c r="H1908" i="1"/>
  <c r="I1908" i="1"/>
  <c r="J1908" i="1"/>
  <c r="M1908" i="1"/>
  <c r="N1908" i="1"/>
  <c r="O1908" i="1"/>
  <c r="P1908" i="1"/>
  <c r="Q1908" i="1"/>
  <c r="R1908" i="1"/>
  <c r="S1908" i="1"/>
  <c r="T1908" i="1"/>
  <c r="U1908" i="1"/>
  <c r="A1819" i="1"/>
  <c r="B1819" i="1"/>
  <c r="C1819" i="1"/>
  <c r="D1819" i="1"/>
  <c r="E1819" i="1"/>
  <c r="F1819" i="1"/>
  <c r="G1819" i="1"/>
  <c r="H1819" i="1"/>
  <c r="I1819" i="1"/>
  <c r="J1819" i="1"/>
  <c r="M1819" i="1"/>
  <c r="N1819" i="1"/>
  <c r="O1819" i="1"/>
  <c r="P1819" i="1"/>
  <c r="Q1819" i="1"/>
  <c r="R1819" i="1"/>
  <c r="S1819" i="1"/>
  <c r="T1819" i="1"/>
  <c r="U1819" i="1"/>
  <c r="A1820" i="1"/>
  <c r="B1820" i="1"/>
  <c r="C1820" i="1"/>
  <c r="D1820" i="1"/>
  <c r="E1820" i="1"/>
  <c r="F1820" i="1"/>
  <c r="G1820" i="1"/>
  <c r="H1820" i="1"/>
  <c r="I1820" i="1"/>
  <c r="J1820" i="1"/>
  <c r="M1820" i="1"/>
  <c r="N1820" i="1"/>
  <c r="O1820" i="1"/>
  <c r="P1820" i="1"/>
  <c r="Q1820" i="1"/>
  <c r="R1820" i="1"/>
  <c r="S1820" i="1"/>
  <c r="T1820" i="1"/>
  <c r="U1820" i="1"/>
  <c r="A1821" i="1"/>
  <c r="B1821" i="1"/>
  <c r="C1821" i="1"/>
  <c r="D1821" i="1"/>
  <c r="E1821" i="1"/>
  <c r="F1821" i="1"/>
  <c r="G1821" i="1"/>
  <c r="H1821" i="1"/>
  <c r="I1821" i="1"/>
  <c r="J1821" i="1"/>
  <c r="M1821" i="1"/>
  <c r="N1821" i="1"/>
  <c r="O1821" i="1"/>
  <c r="P1821" i="1"/>
  <c r="Q1821" i="1"/>
  <c r="R1821" i="1"/>
  <c r="S1821" i="1"/>
  <c r="T1821" i="1"/>
  <c r="U1821" i="1"/>
  <c r="A1621" i="1"/>
  <c r="B1621" i="1"/>
  <c r="C1621" i="1"/>
  <c r="D1621" i="1"/>
  <c r="E1621" i="1"/>
  <c r="F1621" i="1"/>
  <c r="G1621" i="1"/>
  <c r="H1621" i="1"/>
  <c r="I1621" i="1"/>
  <c r="J1621" i="1"/>
  <c r="M1621" i="1"/>
  <c r="N1621" i="1"/>
  <c r="O1621" i="1"/>
  <c r="P1621" i="1"/>
  <c r="Q1621" i="1"/>
  <c r="R1621" i="1"/>
  <c r="S1621" i="1"/>
  <c r="T1621" i="1"/>
  <c r="U1621" i="1"/>
  <c r="A1622" i="1"/>
  <c r="B1622" i="1"/>
  <c r="C1622" i="1"/>
  <c r="D1622" i="1"/>
  <c r="E1622" i="1"/>
  <c r="F1622" i="1"/>
  <c r="G1622" i="1"/>
  <c r="H1622" i="1"/>
  <c r="I1622" i="1"/>
  <c r="J1622" i="1"/>
  <c r="M1622" i="1"/>
  <c r="N1622" i="1"/>
  <c r="O1622" i="1"/>
  <c r="P1622" i="1"/>
  <c r="Q1622" i="1"/>
  <c r="R1622" i="1"/>
  <c r="S1622" i="1"/>
  <c r="T1622" i="1"/>
  <c r="U1622" i="1"/>
  <c r="A1625" i="1"/>
  <c r="B1625" i="1"/>
  <c r="C1625" i="1"/>
  <c r="D1625" i="1"/>
  <c r="E1625" i="1"/>
  <c r="F1625" i="1"/>
  <c r="G1625" i="1"/>
  <c r="H1625" i="1"/>
  <c r="I1625" i="1"/>
  <c r="J1625" i="1"/>
  <c r="M1625" i="1"/>
  <c r="N1625" i="1"/>
  <c r="O1625" i="1"/>
  <c r="P1625" i="1"/>
  <c r="Q1625" i="1"/>
  <c r="R1625" i="1"/>
  <c r="S1625" i="1"/>
  <c r="T1625" i="1"/>
  <c r="U1625" i="1"/>
  <c r="A1623" i="1"/>
  <c r="B1623" i="1"/>
  <c r="C1623" i="1"/>
  <c r="D1623" i="1"/>
  <c r="E1623" i="1"/>
  <c r="F1623" i="1"/>
  <c r="G1623" i="1"/>
  <c r="H1623" i="1"/>
  <c r="I1623" i="1"/>
  <c r="J1623" i="1"/>
  <c r="M1623" i="1"/>
  <c r="N1623" i="1"/>
  <c r="O1623" i="1"/>
  <c r="P1623" i="1"/>
  <c r="Q1623" i="1"/>
  <c r="R1623" i="1"/>
  <c r="S1623" i="1"/>
  <c r="T1623" i="1"/>
  <c r="U1623" i="1"/>
  <c r="A1624" i="1"/>
  <c r="B1624" i="1"/>
  <c r="C1624" i="1"/>
  <c r="D1624" i="1"/>
  <c r="E1624" i="1"/>
  <c r="F1624" i="1"/>
  <c r="G1624" i="1"/>
  <c r="H1624" i="1"/>
  <c r="I1624" i="1"/>
  <c r="J1624" i="1"/>
  <c r="M1624" i="1"/>
  <c r="N1624" i="1"/>
  <c r="O1624" i="1"/>
  <c r="P1624" i="1"/>
  <c r="Q1624" i="1"/>
  <c r="R1624" i="1"/>
  <c r="S1624" i="1"/>
  <c r="T1624" i="1"/>
  <c r="U1624" i="1"/>
  <c r="A1546" i="1"/>
  <c r="B1546" i="1"/>
  <c r="C1546" i="1"/>
  <c r="D1546" i="1"/>
  <c r="E1546" i="1"/>
  <c r="F1546" i="1"/>
  <c r="G1546" i="1"/>
  <c r="H1546" i="1"/>
  <c r="I1546" i="1"/>
  <c r="J1546" i="1"/>
  <c r="M1546" i="1"/>
  <c r="N1546" i="1"/>
  <c r="O1546" i="1"/>
  <c r="P1546" i="1"/>
  <c r="Q1546" i="1"/>
  <c r="R1546" i="1"/>
  <c r="S1546" i="1"/>
  <c r="T1546" i="1"/>
  <c r="U1546" i="1"/>
  <c r="A1547" i="1"/>
  <c r="B1547" i="1"/>
  <c r="C1547" i="1"/>
  <c r="D1547" i="1"/>
  <c r="E1547" i="1"/>
  <c r="F1547" i="1"/>
  <c r="G1547" i="1"/>
  <c r="H1547" i="1"/>
  <c r="I1547" i="1"/>
  <c r="J1547" i="1"/>
  <c r="M1547" i="1"/>
  <c r="N1547" i="1"/>
  <c r="O1547" i="1"/>
  <c r="P1547" i="1"/>
  <c r="Q1547" i="1"/>
  <c r="R1547" i="1"/>
  <c r="S1547" i="1"/>
  <c r="T1547" i="1"/>
  <c r="U1547" i="1"/>
  <c r="A1548" i="1"/>
  <c r="B1548" i="1"/>
  <c r="C1548" i="1"/>
  <c r="D1548" i="1"/>
  <c r="E1548" i="1"/>
  <c r="F1548" i="1"/>
  <c r="G1548" i="1"/>
  <c r="H1548" i="1"/>
  <c r="I1548" i="1"/>
  <c r="J1548" i="1"/>
  <c r="M1548" i="1"/>
  <c r="N1548" i="1"/>
  <c r="O1548" i="1"/>
  <c r="P1548" i="1"/>
  <c r="Q1548" i="1"/>
  <c r="R1548" i="1"/>
  <c r="S1548" i="1"/>
  <c r="T1548" i="1"/>
  <c r="U1548" i="1"/>
  <c r="A1549" i="1"/>
  <c r="B1549" i="1"/>
  <c r="C1549" i="1"/>
  <c r="D1549" i="1"/>
  <c r="E1549" i="1"/>
  <c r="F1549" i="1"/>
  <c r="G1549" i="1"/>
  <c r="H1549" i="1"/>
  <c r="I1549" i="1"/>
  <c r="J1549" i="1"/>
  <c r="M1549" i="1"/>
  <c r="N1549" i="1"/>
  <c r="O1549" i="1"/>
  <c r="P1549" i="1"/>
  <c r="Q1549" i="1"/>
  <c r="R1549" i="1"/>
  <c r="S1549" i="1"/>
  <c r="T1549" i="1"/>
  <c r="U1549" i="1"/>
  <c r="A1487" i="1"/>
  <c r="B1487" i="1"/>
  <c r="C1487" i="1"/>
  <c r="D1487" i="1"/>
  <c r="E1487" i="1"/>
  <c r="F1487" i="1"/>
  <c r="G1487" i="1"/>
  <c r="H1487" i="1"/>
  <c r="I1487" i="1"/>
  <c r="J1487" i="1"/>
  <c r="M1487" i="1"/>
  <c r="N1487" i="1"/>
  <c r="O1487" i="1"/>
  <c r="Q1487" i="1"/>
  <c r="R1487" i="1"/>
  <c r="S1487" i="1"/>
  <c r="T1487" i="1"/>
  <c r="U1487" i="1"/>
  <c r="A1488" i="1"/>
  <c r="B1488" i="1"/>
  <c r="C1488" i="1"/>
  <c r="D1488" i="1"/>
  <c r="E1488" i="1"/>
  <c r="F1488" i="1"/>
  <c r="G1488" i="1"/>
  <c r="H1488" i="1"/>
  <c r="I1488" i="1"/>
  <c r="J1488" i="1"/>
  <c r="M1488" i="1"/>
  <c r="N1488" i="1"/>
  <c r="O1488" i="1"/>
  <c r="P1488" i="1"/>
  <c r="Q1488" i="1"/>
  <c r="R1488" i="1"/>
  <c r="S1488" i="1"/>
  <c r="T1488" i="1"/>
  <c r="U1488" i="1"/>
  <c r="A1421" i="1"/>
  <c r="B1421" i="1"/>
  <c r="C1421" i="1"/>
  <c r="D1421" i="1"/>
  <c r="E1421" i="1"/>
  <c r="F1421" i="1"/>
  <c r="G1421" i="1"/>
  <c r="H1421" i="1"/>
  <c r="I1421" i="1"/>
  <c r="J1421" i="1"/>
  <c r="M1421" i="1"/>
  <c r="N1421" i="1"/>
  <c r="O1421" i="1"/>
  <c r="P1421" i="1"/>
  <c r="Q1421" i="1"/>
  <c r="R1421" i="1"/>
  <c r="S1421" i="1"/>
  <c r="T1421" i="1"/>
  <c r="U1421" i="1"/>
  <c r="A1422" i="1"/>
  <c r="B1422" i="1"/>
  <c r="C1422" i="1"/>
  <c r="D1422" i="1"/>
  <c r="E1422" i="1"/>
  <c r="F1422" i="1"/>
  <c r="G1422" i="1"/>
  <c r="H1422" i="1"/>
  <c r="I1422" i="1"/>
  <c r="J1422" i="1"/>
  <c r="M1422" i="1"/>
  <c r="N1422" i="1"/>
  <c r="O1422" i="1"/>
  <c r="P1422" i="1"/>
  <c r="Q1422" i="1"/>
  <c r="R1422" i="1"/>
  <c r="S1422" i="1"/>
  <c r="T1422" i="1"/>
  <c r="U1422" i="1"/>
  <c r="A1423" i="1"/>
  <c r="B1423" i="1"/>
  <c r="C1423" i="1"/>
  <c r="D1423" i="1"/>
  <c r="E1423" i="1"/>
  <c r="F1423" i="1"/>
  <c r="G1423" i="1"/>
  <c r="H1423" i="1"/>
  <c r="I1423" i="1"/>
  <c r="J1423" i="1"/>
  <c r="M1423" i="1"/>
  <c r="N1423" i="1"/>
  <c r="O1423" i="1"/>
  <c r="P1423" i="1"/>
  <c r="Q1423" i="1"/>
  <c r="R1423" i="1"/>
  <c r="S1423" i="1"/>
  <c r="T1423" i="1"/>
  <c r="U1423" i="1"/>
  <c r="A1426" i="1"/>
  <c r="B1426" i="1"/>
  <c r="C1426" i="1"/>
  <c r="D1426" i="1"/>
  <c r="E1426" i="1"/>
  <c r="F1426" i="1"/>
  <c r="G1426" i="1"/>
  <c r="H1426" i="1"/>
  <c r="I1426" i="1"/>
  <c r="J1426" i="1"/>
  <c r="M1426" i="1"/>
  <c r="N1426" i="1"/>
  <c r="O1426" i="1"/>
  <c r="P1426" i="1"/>
  <c r="Q1426" i="1"/>
  <c r="R1426" i="1"/>
  <c r="S1426" i="1"/>
  <c r="T1426" i="1"/>
  <c r="U1426" i="1"/>
  <c r="A1424" i="1"/>
  <c r="B1424" i="1"/>
  <c r="C1424" i="1"/>
  <c r="D1424" i="1"/>
  <c r="E1424" i="1"/>
  <c r="F1424" i="1"/>
  <c r="G1424" i="1"/>
  <c r="H1424" i="1"/>
  <c r="I1424" i="1"/>
  <c r="J1424" i="1"/>
  <c r="M1424" i="1"/>
  <c r="N1424" i="1"/>
  <c r="O1424" i="1"/>
  <c r="P1424" i="1"/>
  <c r="Q1424" i="1"/>
  <c r="R1424" i="1"/>
  <c r="S1424" i="1"/>
  <c r="T1424" i="1"/>
  <c r="U1424" i="1"/>
  <c r="A1425" i="1"/>
  <c r="B1425" i="1"/>
  <c r="C1425" i="1"/>
  <c r="D1425" i="1"/>
  <c r="E1425" i="1"/>
  <c r="F1425" i="1"/>
  <c r="G1425" i="1"/>
  <c r="H1425" i="1"/>
  <c r="I1425" i="1"/>
  <c r="J1425" i="1"/>
  <c r="M1425" i="1"/>
  <c r="N1425" i="1"/>
  <c r="O1425" i="1"/>
  <c r="P1425" i="1"/>
  <c r="Q1425" i="1"/>
  <c r="R1425" i="1"/>
  <c r="S1425" i="1"/>
  <c r="U1425" i="1"/>
  <c r="A1357" i="1"/>
  <c r="B1357" i="1"/>
  <c r="C1357" i="1"/>
  <c r="D1357" i="1"/>
  <c r="E1357" i="1"/>
  <c r="F1357" i="1"/>
  <c r="G1357" i="1"/>
  <c r="H1357" i="1"/>
  <c r="I1357" i="1"/>
  <c r="J1357" i="1"/>
  <c r="M1357" i="1"/>
  <c r="N1357" i="1"/>
  <c r="O1357" i="1"/>
  <c r="P1357" i="1"/>
  <c r="Q1357" i="1"/>
  <c r="R1357" i="1"/>
  <c r="S1357" i="1"/>
  <c r="T1357" i="1"/>
  <c r="U1357" i="1"/>
  <c r="A1358" i="1"/>
  <c r="B1358" i="1"/>
  <c r="C1358" i="1"/>
  <c r="D1358" i="1"/>
  <c r="E1358" i="1"/>
  <c r="F1358" i="1"/>
  <c r="G1358" i="1"/>
  <c r="H1358" i="1"/>
  <c r="I1358" i="1"/>
  <c r="J1358" i="1"/>
  <c r="M1358" i="1"/>
  <c r="N1358" i="1"/>
  <c r="O1358" i="1"/>
  <c r="P1358" i="1"/>
  <c r="Q1358" i="1"/>
  <c r="R1358" i="1"/>
  <c r="S1358" i="1"/>
  <c r="T1358" i="1"/>
  <c r="U1358" i="1"/>
  <c r="A1359" i="1"/>
  <c r="B1359" i="1"/>
  <c r="C1359" i="1"/>
  <c r="D1359" i="1"/>
  <c r="E1359" i="1"/>
  <c r="F1359" i="1"/>
  <c r="G1359" i="1"/>
  <c r="H1359" i="1"/>
  <c r="I1359" i="1"/>
  <c r="J1359" i="1"/>
  <c r="M1359" i="1"/>
  <c r="N1359" i="1"/>
  <c r="O1359" i="1"/>
  <c r="P1359" i="1"/>
  <c r="Q1359" i="1"/>
  <c r="R1359" i="1"/>
  <c r="S1359" i="1"/>
  <c r="T1359" i="1"/>
  <c r="U1359" i="1"/>
  <c r="A1123" i="1"/>
  <c r="B1123" i="1"/>
  <c r="C1123" i="1"/>
  <c r="D1123" i="1"/>
  <c r="E1123" i="1"/>
  <c r="F1123" i="1"/>
  <c r="G1123" i="1"/>
  <c r="H1123" i="1"/>
  <c r="I1123" i="1"/>
  <c r="J1123" i="1"/>
  <c r="M1123" i="1"/>
  <c r="N1123" i="1"/>
  <c r="O1123" i="1"/>
  <c r="P1123" i="1"/>
  <c r="Q1123" i="1"/>
  <c r="R1123" i="1"/>
  <c r="S1123" i="1"/>
  <c r="T1123" i="1"/>
  <c r="U1123" i="1"/>
  <c r="A1124" i="1"/>
  <c r="B1124" i="1"/>
  <c r="C1124" i="1"/>
  <c r="D1124" i="1"/>
  <c r="E1124" i="1"/>
  <c r="F1124" i="1"/>
  <c r="G1124" i="1"/>
  <c r="H1124" i="1"/>
  <c r="I1124" i="1"/>
  <c r="J1124" i="1"/>
  <c r="M1124" i="1"/>
  <c r="N1124" i="1"/>
  <c r="O1124" i="1"/>
  <c r="P1124" i="1"/>
  <c r="Q1124" i="1"/>
  <c r="R1124" i="1"/>
  <c r="S1124" i="1"/>
  <c r="T1124" i="1"/>
  <c r="U1124" i="1"/>
  <c r="A1127" i="1"/>
  <c r="B1127" i="1"/>
  <c r="C1127" i="1"/>
  <c r="D1127" i="1"/>
  <c r="E1127" i="1"/>
  <c r="F1127" i="1"/>
  <c r="G1127" i="1"/>
  <c r="H1127" i="1"/>
  <c r="I1127" i="1"/>
  <c r="J1127" i="1"/>
  <c r="M1127" i="1"/>
  <c r="N1127" i="1"/>
  <c r="O1127" i="1"/>
  <c r="P1127" i="1"/>
  <c r="Q1127" i="1"/>
  <c r="R1127" i="1"/>
  <c r="S1127" i="1"/>
  <c r="T1127" i="1"/>
  <c r="U1127" i="1"/>
  <c r="A1125" i="1"/>
  <c r="B1125" i="1"/>
  <c r="C1125" i="1"/>
  <c r="D1125" i="1"/>
  <c r="E1125" i="1"/>
  <c r="F1125" i="1"/>
  <c r="G1125" i="1"/>
  <c r="H1125" i="1"/>
  <c r="I1125" i="1"/>
  <c r="J1125" i="1"/>
  <c r="M1125" i="1"/>
  <c r="N1125" i="1"/>
  <c r="O1125" i="1"/>
  <c r="P1125" i="1"/>
  <c r="Q1125" i="1"/>
  <c r="R1125" i="1"/>
  <c r="S1125" i="1"/>
  <c r="T1125" i="1"/>
  <c r="U1125" i="1"/>
  <c r="A1126" i="1"/>
  <c r="B1126" i="1"/>
  <c r="C1126" i="1"/>
  <c r="D1126" i="1"/>
  <c r="E1126" i="1"/>
  <c r="F1126" i="1"/>
  <c r="G1126" i="1"/>
  <c r="H1126" i="1"/>
  <c r="I1126" i="1"/>
  <c r="J1126" i="1"/>
  <c r="M1126" i="1"/>
  <c r="N1126" i="1"/>
  <c r="O1126" i="1"/>
  <c r="P1126" i="1"/>
  <c r="Q1126" i="1"/>
  <c r="R1126" i="1"/>
  <c r="S1126" i="1"/>
  <c r="T1126" i="1"/>
  <c r="U1126" i="1"/>
  <c r="A971" i="1"/>
  <c r="B971" i="1"/>
  <c r="C971" i="1"/>
  <c r="D971" i="1"/>
  <c r="E971" i="1"/>
  <c r="F971" i="1"/>
  <c r="G971" i="1"/>
  <c r="H971" i="1"/>
  <c r="I971" i="1"/>
  <c r="J971" i="1"/>
  <c r="M971" i="1"/>
  <c r="N971" i="1"/>
  <c r="O971" i="1"/>
  <c r="P971" i="1"/>
  <c r="Q971" i="1"/>
  <c r="R971" i="1"/>
  <c r="S971" i="1"/>
  <c r="T971" i="1"/>
  <c r="U971" i="1"/>
  <c r="A671" i="1"/>
  <c r="B671" i="1"/>
  <c r="C671" i="1"/>
  <c r="D671" i="1"/>
  <c r="E671" i="1"/>
  <c r="F671" i="1"/>
  <c r="G671" i="1"/>
  <c r="H671" i="1"/>
  <c r="I671" i="1"/>
  <c r="J671" i="1"/>
  <c r="M671" i="1"/>
  <c r="N671" i="1"/>
  <c r="O671" i="1"/>
  <c r="P671" i="1"/>
  <c r="Q671" i="1"/>
  <c r="R671" i="1"/>
  <c r="S671" i="1"/>
  <c r="T671" i="1"/>
  <c r="U671" i="1"/>
  <c r="A675" i="1"/>
  <c r="B675" i="1"/>
  <c r="C675" i="1"/>
  <c r="D675" i="1"/>
  <c r="E675" i="1"/>
  <c r="F675" i="1"/>
  <c r="G675" i="1"/>
  <c r="H675" i="1"/>
  <c r="I675" i="1"/>
  <c r="J675" i="1"/>
  <c r="M675" i="1"/>
  <c r="N675" i="1"/>
  <c r="O675" i="1"/>
  <c r="P675" i="1"/>
  <c r="Q675" i="1"/>
  <c r="R675" i="1"/>
  <c r="S675" i="1"/>
  <c r="T675" i="1"/>
  <c r="U675" i="1"/>
  <c r="A672" i="1"/>
  <c r="B672" i="1"/>
  <c r="C672" i="1"/>
  <c r="D672" i="1"/>
  <c r="E672" i="1"/>
  <c r="F672" i="1"/>
  <c r="G672" i="1"/>
  <c r="H672" i="1"/>
  <c r="I672" i="1"/>
  <c r="J672" i="1"/>
  <c r="M672" i="1"/>
  <c r="N672" i="1"/>
  <c r="O672" i="1"/>
  <c r="P672" i="1"/>
  <c r="Q672" i="1"/>
  <c r="R672" i="1"/>
  <c r="S672" i="1"/>
  <c r="T672" i="1"/>
  <c r="U672" i="1"/>
  <c r="A673" i="1"/>
  <c r="B673" i="1"/>
  <c r="C673" i="1"/>
  <c r="D673" i="1"/>
  <c r="E673" i="1"/>
  <c r="F673" i="1"/>
  <c r="G673" i="1"/>
  <c r="H673" i="1"/>
  <c r="I673" i="1"/>
  <c r="J673" i="1"/>
  <c r="M673" i="1"/>
  <c r="N673" i="1"/>
  <c r="O673" i="1"/>
  <c r="P673" i="1"/>
  <c r="Q673" i="1"/>
  <c r="R673" i="1"/>
  <c r="S673" i="1"/>
  <c r="T673" i="1"/>
  <c r="U673" i="1"/>
  <c r="A674" i="1"/>
  <c r="B674" i="1"/>
  <c r="C674" i="1"/>
  <c r="D674" i="1"/>
  <c r="E674" i="1"/>
  <c r="F674" i="1"/>
  <c r="G674" i="1"/>
  <c r="H674" i="1"/>
  <c r="I674" i="1"/>
  <c r="J674" i="1"/>
  <c r="M674" i="1"/>
  <c r="N674" i="1"/>
  <c r="O674" i="1"/>
  <c r="P674" i="1"/>
  <c r="Q674" i="1"/>
  <c r="R674" i="1"/>
  <c r="S674" i="1"/>
  <c r="T674" i="1"/>
  <c r="U674" i="1"/>
  <c r="A606" i="1"/>
  <c r="B606" i="1"/>
  <c r="C606" i="1"/>
  <c r="D606" i="1"/>
  <c r="E606" i="1"/>
  <c r="F606" i="1"/>
  <c r="G606" i="1"/>
  <c r="H606" i="1"/>
  <c r="I606" i="1"/>
  <c r="J606" i="1"/>
  <c r="M606" i="1"/>
  <c r="N606" i="1"/>
  <c r="O606" i="1"/>
  <c r="P606" i="1"/>
  <c r="Q606" i="1"/>
  <c r="R606" i="1"/>
  <c r="S606" i="1"/>
  <c r="T606" i="1"/>
  <c r="U606" i="1"/>
  <c r="A607" i="1"/>
  <c r="B607" i="1"/>
  <c r="C607" i="1"/>
  <c r="D607" i="1"/>
  <c r="E607" i="1"/>
  <c r="F607" i="1"/>
  <c r="G607" i="1"/>
  <c r="H607" i="1"/>
  <c r="I607" i="1"/>
  <c r="J607" i="1"/>
  <c r="M607" i="1"/>
  <c r="N607" i="1"/>
  <c r="O607" i="1"/>
  <c r="P607" i="1"/>
  <c r="Q607" i="1"/>
  <c r="R607" i="1"/>
  <c r="S607" i="1"/>
  <c r="T607" i="1"/>
  <c r="U607" i="1"/>
  <c r="A548" i="1"/>
  <c r="B548" i="1"/>
  <c r="C548" i="1"/>
  <c r="D548" i="1"/>
  <c r="E548" i="1"/>
  <c r="F548" i="1"/>
  <c r="G548" i="1"/>
  <c r="H548" i="1"/>
  <c r="I548" i="1"/>
  <c r="J548" i="1"/>
  <c r="M548" i="1"/>
  <c r="N548" i="1"/>
  <c r="O548" i="1"/>
  <c r="P548" i="1"/>
  <c r="Q548" i="1"/>
  <c r="R548" i="1"/>
  <c r="S548" i="1"/>
  <c r="T548" i="1"/>
  <c r="U548" i="1"/>
  <c r="A549" i="1"/>
  <c r="B549" i="1"/>
  <c r="C549" i="1"/>
  <c r="D549" i="1"/>
  <c r="E549" i="1"/>
  <c r="F549" i="1"/>
  <c r="G549" i="1"/>
  <c r="H549" i="1"/>
  <c r="I549" i="1"/>
  <c r="J549" i="1"/>
  <c r="M549" i="1"/>
  <c r="N549" i="1"/>
  <c r="O549" i="1"/>
  <c r="P549" i="1"/>
  <c r="Q549" i="1"/>
  <c r="R549" i="1"/>
  <c r="S549" i="1"/>
  <c r="T549" i="1"/>
  <c r="U549" i="1"/>
  <c r="A551" i="1"/>
  <c r="B551" i="1"/>
  <c r="C551" i="1"/>
  <c r="D551" i="1"/>
  <c r="E551" i="1"/>
  <c r="F551" i="1"/>
  <c r="G551" i="1"/>
  <c r="H551" i="1"/>
  <c r="I551" i="1"/>
  <c r="J551" i="1"/>
  <c r="M551" i="1"/>
  <c r="N551" i="1"/>
  <c r="O551" i="1"/>
  <c r="P551" i="1"/>
  <c r="Q551" i="1"/>
  <c r="R551" i="1"/>
  <c r="S551" i="1"/>
  <c r="T551" i="1"/>
  <c r="U551" i="1"/>
  <c r="A550" i="1"/>
  <c r="B550" i="1"/>
  <c r="C550" i="1"/>
  <c r="D550" i="1"/>
  <c r="E550" i="1"/>
  <c r="F550" i="1"/>
  <c r="G550" i="1"/>
  <c r="H550" i="1"/>
  <c r="I550" i="1"/>
  <c r="J550" i="1"/>
  <c r="M550" i="1"/>
  <c r="N550" i="1"/>
  <c r="O550" i="1"/>
  <c r="P550" i="1"/>
  <c r="Q550" i="1"/>
  <c r="R550" i="1"/>
  <c r="S550" i="1"/>
  <c r="T550" i="1"/>
  <c r="U550" i="1"/>
  <c r="A487" i="1"/>
  <c r="B487" i="1"/>
  <c r="C487" i="1"/>
  <c r="D487" i="1"/>
  <c r="E487" i="1"/>
  <c r="F487" i="1"/>
  <c r="G487" i="1"/>
  <c r="H487" i="1"/>
  <c r="I487" i="1"/>
  <c r="J487" i="1"/>
  <c r="M487" i="1"/>
  <c r="N487" i="1"/>
  <c r="O487" i="1"/>
  <c r="P487" i="1"/>
  <c r="Q487" i="1"/>
  <c r="R487" i="1"/>
  <c r="S487" i="1"/>
  <c r="T487" i="1"/>
  <c r="U487" i="1"/>
  <c r="A488" i="1"/>
  <c r="B488" i="1"/>
  <c r="C488" i="1"/>
  <c r="D488" i="1"/>
  <c r="E488" i="1"/>
  <c r="F488" i="1"/>
  <c r="G488" i="1"/>
  <c r="H488" i="1"/>
  <c r="I488" i="1"/>
  <c r="J488" i="1"/>
  <c r="M488" i="1"/>
  <c r="N488" i="1"/>
  <c r="O488" i="1"/>
  <c r="P488" i="1"/>
  <c r="Q488" i="1"/>
  <c r="R488" i="1"/>
  <c r="S488" i="1"/>
  <c r="T488" i="1"/>
  <c r="U488" i="1"/>
  <c r="A284" i="1"/>
  <c r="B284" i="1"/>
  <c r="C284" i="1"/>
  <c r="D284" i="1"/>
  <c r="E284" i="1"/>
  <c r="F284" i="1"/>
  <c r="G284" i="1"/>
  <c r="H284" i="1"/>
  <c r="I284" i="1"/>
  <c r="J284" i="1"/>
  <c r="M284" i="1"/>
  <c r="N284" i="1"/>
  <c r="O284" i="1"/>
  <c r="P284" i="1"/>
  <c r="Q284" i="1"/>
  <c r="R284" i="1"/>
  <c r="S284" i="1"/>
  <c r="T284" i="1"/>
  <c r="U284" i="1"/>
  <c r="A285" i="1"/>
  <c r="B285" i="1"/>
  <c r="C285" i="1"/>
  <c r="D285" i="1"/>
  <c r="E285" i="1"/>
  <c r="F285" i="1"/>
  <c r="G285" i="1"/>
  <c r="H285" i="1"/>
  <c r="I285" i="1"/>
  <c r="J285" i="1"/>
  <c r="M285" i="1"/>
  <c r="N285" i="1"/>
  <c r="O285" i="1"/>
  <c r="P285" i="1"/>
  <c r="Q285" i="1"/>
  <c r="R285" i="1"/>
  <c r="S285" i="1"/>
  <c r="T285" i="1"/>
  <c r="U285" i="1"/>
  <c r="A286" i="1"/>
  <c r="B286" i="1"/>
  <c r="C286" i="1"/>
  <c r="D286" i="1"/>
  <c r="E286" i="1"/>
  <c r="F286" i="1"/>
  <c r="G286" i="1"/>
  <c r="H286" i="1"/>
  <c r="I286" i="1"/>
  <c r="J286" i="1"/>
  <c r="M286" i="1"/>
  <c r="N286" i="1"/>
  <c r="O286" i="1"/>
  <c r="P286" i="1"/>
  <c r="Q286" i="1"/>
  <c r="R286" i="1"/>
  <c r="S286" i="1"/>
  <c r="T286" i="1"/>
  <c r="U286" i="1"/>
  <c r="A287" i="1"/>
  <c r="B287" i="1"/>
  <c r="C287" i="1"/>
  <c r="D287" i="1"/>
  <c r="E287" i="1"/>
  <c r="F287" i="1"/>
  <c r="G287" i="1"/>
  <c r="H287" i="1"/>
  <c r="I287" i="1"/>
  <c r="J287" i="1"/>
  <c r="M287" i="1"/>
  <c r="N287" i="1"/>
  <c r="O287" i="1"/>
  <c r="P287" i="1"/>
  <c r="Q287" i="1"/>
  <c r="R287" i="1"/>
  <c r="S287" i="1"/>
  <c r="T287" i="1"/>
  <c r="U287" i="1"/>
  <c r="A288" i="1"/>
  <c r="B288" i="1"/>
  <c r="C288" i="1"/>
  <c r="D288" i="1"/>
  <c r="E288" i="1"/>
  <c r="F288" i="1"/>
  <c r="G288" i="1"/>
  <c r="H288" i="1"/>
  <c r="I288" i="1"/>
  <c r="J288" i="1"/>
  <c r="M288" i="1"/>
  <c r="N288" i="1"/>
  <c r="O288" i="1"/>
  <c r="P288" i="1"/>
  <c r="Q288" i="1"/>
  <c r="R288" i="1"/>
  <c r="S288" i="1"/>
  <c r="T288" i="1"/>
  <c r="U288" i="1"/>
  <c r="A290" i="1"/>
  <c r="B290" i="1"/>
  <c r="C290" i="1"/>
  <c r="D290" i="1"/>
  <c r="E290" i="1"/>
  <c r="F290" i="1"/>
  <c r="G290" i="1"/>
  <c r="H290" i="1"/>
  <c r="I290" i="1"/>
  <c r="J290" i="1"/>
  <c r="M290" i="1"/>
  <c r="N290" i="1"/>
  <c r="O290" i="1"/>
  <c r="P290" i="1"/>
  <c r="Q290" i="1"/>
  <c r="R290" i="1"/>
  <c r="S290" i="1"/>
  <c r="T290" i="1"/>
  <c r="U290" i="1"/>
  <c r="A289" i="1"/>
  <c r="B289" i="1"/>
  <c r="C289" i="1"/>
  <c r="D289" i="1"/>
  <c r="E289" i="1"/>
  <c r="F289" i="1"/>
  <c r="G289" i="1"/>
  <c r="H289" i="1"/>
  <c r="I289" i="1"/>
  <c r="J289" i="1"/>
  <c r="M289" i="1"/>
  <c r="N289" i="1"/>
  <c r="O289" i="1"/>
  <c r="P289" i="1"/>
  <c r="Q289" i="1"/>
  <c r="R289" i="1"/>
  <c r="S289" i="1"/>
  <c r="T289" i="1"/>
  <c r="U289" i="1"/>
  <c r="A210" i="1"/>
  <c r="B210" i="1"/>
  <c r="C210" i="1"/>
  <c r="D210" i="1"/>
  <c r="E210" i="1"/>
  <c r="F210" i="1"/>
  <c r="G210" i="1"/>
  <c r="H210" i="1"/>
  <c r="I210" i="1"/>
  <c r="J210" i="1"/>
  <c r="M210" i="1"/>
  <c r="N210" i="1"/>
  <c r="O210" i="1"/>
  <c r="P210" i="1"/>
  <c r="Q210" i="1"/>
  <c r="R210" i="1"/>
  <c r="S210" i="1"/>
  <c r="T210" i="1"/>
  <c r="U210" i="1"/>
  <c r="A211" i="1"/>
  <c r="B211" i="1"/>
  <c r="C211" i="1"/>
  <c r="D211" i="1"/>
  <c r="E211" i="1"/>
  <c r="F211" i="1"/>
  <c r="G211" i="1"/>
  <c r="H211" i="1"/>
  <c r="I211" i="1"/>
  <c r="J211" i="1"/>
  <c r="M211" i="1"/>
  <c r="N211" i="1"/>
  <c r="O211" i="1"/>
  <c r="P211" i="1"/>
  <c r="Q211" i="1"/>
  <c r="R211" i="1"/>
  <c r="S211" i="1"/>
  <c r="T211" i="1"/>
  <c r="U211" i="1"/>
  <c r="A209" i="1"/>
  <c r="B209" i="1"/>
  <c r="C209" i="1"/>
  <c r="D209" i="1"/>
  <c r="E209" i="1"/>
  <c r="F209" i="1"/>
  <c r="G209" i="1"/>
  <c r="H209" i="1"/>
  <c r="I209" i="1"/>
  <c r="J209" i="1"/>
  <c r="M209" i="1"/>
  <c r="N209" i="1"/>
  <c r="O209" i="1"/>
  <c r="Q209" i="1"/>
  <c r="R209" i="1"/>
  <c r="S209" i="1"/>
  <c r="T209" i="1"/>
  <c r="U209" i="1"/>
  <c r="A212" i="1"/>
  <c r="B212" i="1"/>
  <c r="C212" i="1"/>
  <c r="D212" i="1"/>
  <c r="E212" i="1"/>
  <c r="F212" i="1"/>
  <c r="G212" i="1"/>
  <c r="H212" i="1"/>
  <c r="I212" i="1"/>
  <c r="J212" i="1"/>
  <c r="M212" i="1"/>
  <c r="N212" i="1"/>
  <c r="O212" i="1"/>
  <c r="P212" i="1"/>
  <c r="Q212" i="1"/>
  <c r="R212" i="1"/>
  <c r="S212" i="1"/>
  <c r="T212" i="1"/>
  <c r="U212" i="1"/>
  <c r="A213" i="1"/>
  <c r="B213" i="1"/>
  <c r="C213" i="1"/>
  <c r="D213" i="1"/>
  <c r="E213" i="1"/>
  <c r="F213" i="1"/>
  <c r="G213" i="1"/>
  <c r="H213" i="1"/>
  <c r="I213" i="1"/>
  <c r="J213" i="1"/>
  <c r="M213" i="1"/>
  <c r="N213" i="1"/>
  <c r="O213" i="1"/>
  <c r="P213" i="1"/>
  <c r="Q213" i="1"/>
  <c r="R213" i="1"/>
  <c r="S213" i="1"/>
  <c r="T213" i="1"/>
  <c r="U213" i="1"/>
  <c r="A214" i="1"/>
  <c r="B214" i="1"/>
  <c r="C214" i="1"/>
  <c r="D214" i="1"/>
  <c r="E214" i="1"/>
  <c r="F214" i="1"/>
  <c r="G214" i="1"/>
  <c r="H214" i="1"/>
  <c r="I214" i="1"/>
  <c r="J214" i="1"/>
  <c r="M214" i="1"/>
  <c r="N214" i="1"/>
  <c r="O214" i="1"/>
  <c r="P214" i="1"/>
  <c r="Q214" i="1"/>
  <c r="R214" i="1"/>
  <c r="S214" i="1"/>
  <c r="T214" i="1"/>
  <c r="U214" i="1"/>
  <c r="A215" i="1"/>
  <c r="B215" i="1"/>
  <c r="C215" i="1"/>
  <c r="D215" i="1"/>
  <c r="E215" i="1"/>
  <c r="F215" i="1"/>
  <c r="G215" i="1"/>
  <c r="H215" i="1"/>
  <c r="I215" i="1"/>
  <c r="J215" i="1"/>
  <c r="M215" i="1"/>
  <c r="N215" i="1"/>
  <c r="O215" i="1"/>
  <c r="P215" i="1"/>
  <c r="Q215" i="1"/>
  <c r="R215" i="1"/>
  <c r="S215" i="1"/>
  <c r="T215" i="1"/>
  <c r="U215" i="1"/>
  <c r="A143" i="1"/>
  <c r="B143" i="1"/>
  <c r="C143" i="1"/>
  <c r="D143" i="1"/>
  <c r="E143" i="1"/>
  <c r="F143" i="1"/>
  <c r="G143" i="1"/>
  <c r="H143" i="1"/>
  <c r="I143" i="1"/>
  <c r="J143" i="1"/>
  <c r="M143" i="1"/>
  <c r="N143" i="1"/>
  <c r="O143" i="1"/>
  <c r="P143" i="1"/>
  <c r="Q143" i="1"/>
  <c r="R143" i="1"/>
  <c r="S143" i="1"/>
  <c r="U143" i="1"/>
  <c r="A144" i="1"/>
  <c r="B144" i="1"/>
  <c r="C144" i="1"/>
  <c r="D144" i="1"/>
  <c r="E144" i="1"/>
  <c r="F144" i="1"/>
  <c r="G144" i="1"/>
  <c r="H144" i="1"/>
  <c r="I144" i="1"/>
  <c r="J144" i="1"/>
  <c r="M144" i="1"/>
  <c r="N144" i="1"/>
  <c r="O144" i="1"/>
  <c r="P144" i="1"/>
  <c r="Q144" i="1"/>
  <c r="R144" i="1"/>
  <c r="S144" i="1"/>
  <c r="U144" i="1"/>
  <c r="A145" i="1"/>
  <c r="B145" i="1"/>
  <c r="C145" i="1"/>
  <c r="D145" i="1"/>
  <c r="E145" i="1"/>
  <c r="F145" i="1"/>
  <c r="G145" i="1"/>
  <c r="H145" i="1"/>
  <c r="I145" i="1"/>
  <c r="J145" i="1"/>
  <c r="M145" i="1"/>
  <c r="N145" i="1"/>
  <c r="O145" i="1"/>
  <c r="P145" i="1"/>
  <c r="Q145" i="1"/>
  <c r="R145" i="1"/>
  <c r="S145" i="1"/>
  <c r="U145" i="1"/>
  <c r="A94" i="1"/>
  <c r="B94" i="1"/>
  <c r="C94" i="1"/>
  <c r="D94" i="1"/>
  <c r="E94" i="1"/>
  <c r="F94" i="1"/>
  <c r="G94" i="1"/>
  <c r="H94" i="1"/>
  <c r="I94" i="1"/>
  <c r="J94" i="1"/>
  <c r="M94" i="1"/>
  <c r="N94" i="1"/>
  <c r="O94" i="1"/>
  <c r="P94" i="1"/>
  <c r="Q94" i="1"/>
  <c r="R94" i="1"/>
  <c r="S94" i="1"/>
  <c r="T94" i="1"/>
  <c r="U94" i="1"/>
  <c r="A93" i="1"/>
  <c r="B93" i="1"/>
  <c r="C93" i="1"/>
  <c r="D93" i="1"/>
  <c r="E93" i="1"/>
  <c r="F93" i="1"/>
  <c r="G93" i="1"/>
  <c r="H93" i="1"/>
  <c r="I93" i="1"/>
  <c r="J93" i="1"/>
  <c r="M93" i="1"/>
  <c r="N93" i="1"/>
  <c r="O93" i="1"/>
  <c r="P93" i="1"/>
  <c r="Q93" i="1"/>
  <c r="R93" i="1"/>
  <c r="S93" i="1"/>
  <c r="T93" i="1"/>
  <c r="U93" i="1"/>
  <c r="A44" i="1"/>
  <c r="B44" i="1"/>
  <c r="C44" i="1"/>
  <c r="D44" i="1"/>
  <c r="E44" i="1"/>
  <c r="F44" i="1"/>
  <c r="G44" i="1"/>
  <c r="H44" i="1"/>
  <c r="I44" i="1"/>
  <c r="J44" i="1"/>
  <c r="M44" i="1"/>
  <c r="N44" i="1"/>
  <c r="O44" i="1"/>
  <c r="P44" i="1"/>
  <c r="Q44" i="1"/>
  <c r="R44" i="1"/>
  <c r="S44" i="1"/>
  <c r="T44" i="1"/>
  <c r="U44" i="1"/>
  <c r="A45" i="1"/>
  <c r="B45" i="1"/>
  <c r="C45" i="1"/>
  <c r="D45" i="1"/>
  <c r="E45" i="1"/>
  <c r="F45" i="1"/>
  <c r="G45" i="1"/>
  <c r="H45" i="1"/>
  <c r="I45" i="1"/>
  <c r="J45" i="1"/>
  <c r="M45" i="1"/>
  <c r="N45" i="1"/>
  <c r="O45" i="1"/>
  <c r="P45" i="1"/>
  <c r="Q45" i="1"/>
  <c r="R45" i="1"/>
  <c r="S45" i="1"/>
  <c r="T45" i="1"/>
  <c r="U45" i="1"/>
  <c r="A46" i="1"/>
  <c r="B46" i="1"/>
  <c r="C46" i="1"/>
  <c r="D46" i="1"/>
  <c r="E46" i="1"/>
  <c r="F46" i="1"/>
  <c r="G46" i="1"/>
  <c r="H46" i="1"/>
  <c r="I46" i="1"/>
  <c r="J46" i="1"/>
  <c r="M46" i="1"/>
  <c r="N46" i="1"/>
  <c r="O46" i="1"/>
  <c r="P46" i="1"/>
  <c r="Q46" i="1"/>
  <c r="R46" i="1"/>
  <c r="S46" i="1"/>
  <c r="T46" i="1"/>
  <c r="U46" i="1"/>
  <c r="A47" i="1"/>
  <c r="B47" i="1"/>
  <c r="C47" i="1"/>
  <c r="D47" i="1"/>
  <c r="E47" i="1"/>
  <c r="F47" i="1"/>
  <c r="G47" i="1"/>
  <c r="H47" i="1"/>
  <c r="I47" i="1"/>
  <c r="J47" i="1"/>
  <c r="M47" i="1"/>
  <c r="N47" i="1"/>
  <c r="O47" i="1"/>
  <c r="P47" i="1"/>
  <c r="Q47" i="1"/>
  <c r="R47" i="1"/>
  <c r="S47" i="1"/>
  <c r="T47" i="1"/>
  <c r="U47" i="1"/>
  <c r="A52" i="1"/>
  <c r="B52" i="1"/>
  <c r="C52" i="1"/>
  <c r="D52" i="1"/>
  <c r="E52" i="1"/>
  <c r="F52" i="1"/>
  <c r="G52" i="1"/>
  <c r="H52" i="1"/>
  <c r="I52" i="1"/>
  <c r="J52" i="1"/>
  <c r="M52" i="1"/>
  <c r="N52" i="1"/>
  <c r="O52" i="1"/>
  <c r="P52" i="1"/>
  <c r="Q52" i="1"/>
  <c r="R52" i="1"/>
  <c r="S52" i="1"/>
  <c r="T52" i="1"/>
  <c r="U52" i="1"/>
  <c r="A48" i="1"/>
  <c r="B48" i="1"/>
  <c r="C48" i="1"/>
  <c r="D48" i="1"/>
  <c r="E48" i="1"/>
  <c r="F48" i="1"/>
  <c r="G48" i="1"/>
  <c r="H48" i="1"/>
  <c r="I48" i="1"/>
  <c r="J48" i="1"/>
  <c r="M48" i="1"/>
  <c r="N48" i="1"/>
  <c r="O48" i="1"/>
  <c r="P48" i="1"/>
  <c r="Q48" i="1"/>
  <c r="R48" i="1"/>
  <c r="S48" i="1"/>
  <c r="T48" i="1"/>
  <c r="U48" i="1"/>
  <c r="A49" i="1"/>
  <c r="B49" i="1"/>
  <c r="C49" i="1"/>
  <c r="D49" i="1"/>
  <c r="E49" i="1"/>
  <c r="F49" i="1"/>
  <c r="G49" i="1"/>
  <c r="H49" i="1"/>
  <c r="I49" i="1"/>
  <c r="J49" i="1"/>
  <c r="M49" i="1"/>
  <c r="N49" i="1"/>
  <c r="O49" i="1"/>
  <c r="P49" i="1"/>
  <c r="Q49" i="1"/>
  <c r="R49" i="1"/>
  <c r="S49" i="1"/>
  <c r="T49" i="1"/>
  <c r="U49" i="1"/>
  <c r="A50" i="1"/>
  <c r="B50" i="1"/>
  <c r="C50" i="1"/>
  <c r="D50" i="1"/>
  <c r="E50" i="1"/>
  <c r="F50" i="1"/>
  <c r="G50" i="1"/>
  <c r="H50" i="1"/>
  <c r="I50" i="1"/>
  <c r="J50" i="1"/>
  <c r="M50" i="1"/>
  <c r="N50" i="1"/>
  <c r="O50" i="1"/>
  <c r="P50" i="1"/>
  <c r="Q50" i="1"/>
  <c r="R50" i="1"/>
  <c r="S50" i="1"/>
  <c r="T50" i="1"/>
  <c r="U50" i="1"/>
  <c r="A51" i="1"/>
  <c r="B51" i="1"/>
  <c r="C51" i="1"/>
  <c r="D51" i="1"/>
  <c r="E51" i="1"/>
  <c r="F51" i="1"/>
  <c r="G51" i="1"/>
  <c r="H51" i="1"/>
  <c r="I51" i="1"/>
  <c r="J51" i="1"/>
  <c r="M51" i="1"/>
  <c r="N51" i="1"/>
  <c r="O51" i="1"/>
  <c r="P51" i="1"/>
  <c r="Q51" i="1"/>
  <c r="R51" i="1"/>
  <c r="S51" i="1"/>
  <c r="T51" i="1"/>
  <c r="U51" i="1"/>
  <c r="A1814" i="1"/>
  <c r="B1814" i="1"/>
  <c r="C1814" i="1"/>
  <c r="D1814" i="1"/>
  <c r="E1814" i="1"/>
  <c r="F1814" i="1"/>
  <c r="G1814" i="1"/>
  <c r="H1814" i="1"/>
  <c r="I1814" i="1"/>
  <c r="J1814" i="1"/>
  <c r="M1814" i="1"/>
  <c r="N1814" i="1"/>
  <c r="O1814" i="1"/>
  <c r="P1814" i="1"/>
  <c r="Q1814" i="1"/>
  <c r="R1814" i="1"/>
  <c r="S1814" i="1"/>
  <c r="T1814" i="1"/>
  <c r="U1814" i="1"/>
  <c r="A1812" i="1"/>
  <c r="B1812" i="1"/>
  <c r="C1812" i="1"/>
  <c r="D1812" i="1"/>
  <c r="E1812" i="1"/>
  <c r="F1812" i="1"/>
  <c r="G1812" i="1"/>
  <c r="H1812" i="1"/>
  <c r="I1812" i="1"/>
  <c r="J1812" i="1"/>
  <c r="M1812" i="1"/>
  <c r="N1812" i="1"/>
  <c r="O1812" i="1"/>
  <c r="P1812" i="1"/>
  <c r="Q1812" i="1"/>
  <c r="R1812" i="1"/>
  <c r="S1812" i="1"/>
  <c r="T1812" i="1"/>
  <c r="U1812" i="1"/>
  <c r="A1813" i="1"/>
  <c r="B1813" i="1"/>
  <c r="C1813" i="1"/>
  <c r="D1813" i="1"/>
  <c r="E1813" i="1"/>
  <c r="F1813" i="1"/>
  <c r="G1813" i="1"/>
  <c r="H1813" i="1"/>
  <c r="I1813" i="1"/>
  <c r="J1813" i="1"/>
  <c r="M1813" i="1"/>
  <c r="N1813" i="1"/>
  <c r="O1813" i="1"/>
  <c r="P1813" i="1"/>
  <c r="Q1813" i="1"/>
  <c r="R1813" i="1"/>
  <c r="S1813" i="1"/>
  <c r="U1813" i="1"/>
  <c r="A1750" i="1"/>
  <c r="B1750" i="1"/>
  <c r="C1750" i="1"/>
  <c r="D1750" i="1"/>
  <c r="E1750" i="1"/>
  <c r="F1750" i="1"/>
  <c r="G1750" i="1"/>
  <c r="H1750" i="1"/>
  <c r="I1750" i="1"/>
  <c r="J1750" i="1"/>
  <c r="M1750" i="1"/>
  <c r="N1750" i="1"/>
  <c r="O1750" i="1"/>
  <c r="P1750" i="1"/>
  <c r="Q1750" i="1"/>
  <c r="R1750" i="1"/>
  <c r="S1750" i="1"/>
  <c r="T1750" i="1"/>
  <c r="U1750" i="1"/>
  <c r="A1751" i="1"/>
  <c r="B1751" i="1"/>
  <c r="C1751" i="1"/>
  <c r="D1751" i="1"/>
  <c r="E1751" i="1"/>
  <c r="F1751" i="1"/>
  <c r="G1751" i="1"/>
  <c r="H1751" i="1"/>
  <c r="I1751" i="1"/>
  <c r="J1751" i="1"/>
  <c r="M1751" i="1"/>
  <c r="N1751" i="1"/>
  <c r="O1751" i="1"/>
  <c r="P1751" i="1"/>
  <c r="Q1751" i="1"/>
  <c r="R1751" i="1"/>
  <c r="S1751" i="1"/>
  <c r="T1751" i="1"/>
  <c r="U1751" i="1"/>
  <c r="A1752" i="1"/>
  <c r="B1752" i="1"/>
  <c r="C1752" i="1"/>
  <c r="D1752" i="1"/>
  <c r="E1752" i="1"/>
  <c r="F1752" i="1"/>
  <c r="G1752" i="1"/>
  <c r="H1752" i="1"/>
  <c r="I1752" i="1"/>
  <c r="J1752" i="1"/>
  <c r="M1752" i="1"/>
  <c r="N1752" i="1"/>
  <c r="O1752" i="1"/>
  <c r="P1752" i="1"/>
  <c r="Q1752" i="1"/>
  <c r="R1752" i="1"/>
  <c r="S1752" i="1"/>
  <c r="T1752" i="1"/>
  <c r="U1752" i="1"/>
  <c r="A1753" i="1"/>
  <c r="B1753" i="1"/>
  <c r="C1753" i="1"/>
  <c r="D1753" i="1"/>
  <c r="E1753" i="1"/>
  <c r="F1753" i="1"/>
  <c r="G1753" i="1"/>
  <c r="H1753" i="1"/>
  <c r="I1753" i="1"/>
  <c r="J1753" i="1"/>
  <c r="M1753" i="1"/>
  <c r="N1753" i="1"/>
  <c r="O1753" i="1"/>
  <c r="P1753" i="1"/>
  <c r="Q1753" i="1"/>
  <c r="R1753" i="1"/>
  <c r="S1753" i="1"/>
  <c r="T1753" i="1"/>
  <c r="U1753" i="1"/>
  <c r="A1756" i="1"/>
  <c r="B1756" i="1"/>
  <c r="C1756" i="1"/>
  <c r="D1756" i="1"/>
  <c r="E1756" i="1"/>
  <c r="F1756" i="1"/>
  <c r="G1756" i="1"/>
  <c r="H1756" i="1"/>
  <c r="I1756" i="1"/>
  <c r="J1756" i="1"/>
  <c r="M1756" i="1"/>
  <c r="N1756" i="1"/>
  <c r="O1756" i="1"/>
  <c r="P1756" i="1"/>
  <c r="Q1756" i="1"/>
  <c r="R1756" i="1"/>
  <c r="S1756" i="1"/>
  <c r="T1756" i="1"/>
  <c r="U1756" i="1"/>
  <c r="A1754" i="1"/>
  <c r="B1754" i="1"/>
  <c r="C1754" i="1"/>
  <c r="D1754" i="1"/>
  <c r="E1754" i="1"/>
  <c r="F1754" i="1"/>
  <c r="G1754" i="1"/>
  <c r="H1754" i="1"/>
  <c r="I1754" i="1"/>
  <c r="J1754" i="1"/>
  <c r="M1754" i="1"/>
  <c r="N1754" i="1"/>
  <c r="O1754" i="1"/>
  <c r="P1754" i="1"/>
  <c r="Q1754" i="1"/>
  <c r="R1754" i="1"/>
  <c r="S1754" i="1"/>
  <c r="T1754" i="1"/>
  <c r="U1754" i="1"/>
  <c r="A1755" i="1"/>
  <c r="B1755" i="1"/>
  <c r="C1755" i="1"/>
  <c r="D1755" i="1"/>
  <c r="E1755" i="1"/>
  <c r="F1755" i="1"/>
  <c r="G1755" i="1"/>
  <c r="H1755" i="1"/>
  <c r="I1755" i="1"/>
  <c r="J1755" i="1"/>
  <c r="M1755" i="1"/>
  <c r="N1755" i="1"/>
  <c r="O1755" i="1"/>
  <c r="P1755" i="1"/>
  <c r="Q1755" i="1"/>
  <c r="R1755" i="1"/>
  <c r="S1755" i="1"/>
  <c r="T1755" i="1"/>
  <c r="U1755" i="1"/>
  <c r="A1675" i="1"/>
  <c r="B1675" i="1"/>
  <c r="C1675" i="1"/>
  <c r="D1675" i="1"/>
  <c r="E1675" i="1"/>
  <c r="F1675" i="1"/>
  <c r="G1675" i="1"/>
  <c r="H1675" i="1"/>
  <c r="I1675" i="1"/>
  <c r="J1675" i="1"/>
  <c r="M1675" i="1"/>
  <c r="N1675" i="1"/>
  <c r="O1675" i="1"/>
  <c r="P1675" i="1"/>
  <c r="Q1675" i="1"/>
  <c r="R1675" i="1"/>
  <c r="S1675" i="1"/>
  <c r="T1675" i="1"/>
  <c r="U1675" i="1"/>
  <c r="A1611" i="1"/>
  <c r="B1611" i="1"/>
  <c r="C1611" i="1"/>
  <c r="D1611" i="1"/>
  <c r="E1611" i="1"/>
  <c r="F1611" i="1"/>
  <c r="G1611" i="1"/>
  <c r="H1611" i="1"/>
  <c r="I1611" i="1"/>
  <c r="J1611" i="1"/>
  <c r="M1611" i="1"/>
  <c r="N1611" i="1"/>
  <c r="O1611" i="1"/>
  <c r="P1611" i="1"/>
  <c r="Q1611" i="1"/>
  <c r="R1611" i="1"/>
  <c r="S1611" i="1"/>
  <c r="T1611" i="1"/>
  <c r="U1611" i="1"/>
  <c r="A1612" i="1"/>
  <c r="B1612" i="1"/>
  <c r="C1612" i="1"/>
  <c r="D1612" i="1"/>
  <c r="E1612" i="1"/>
  <c r="F1612" i="1"/>
  <c r="G1612" i="1"/>
  <c r="H1612" i="1"/>
  <c r="I1612" i="1"/>
  <c r="J1612" i="1"/>
  <c r="M1612" i="1"/>
  <c r="N1612" i="1"/>
  <c r="O1612" i="1"/>
  <c r="P1612" i="1"/>
  <c r="Q1612" i="1"/>
  <c r="R1612" i="1"/>
  <c r="S1612" i="1"/>
  <c r="T1612" i="1"/>
  <c r="U1612" i="1"/>
  <c r="A1613" i="1"/>
  <c r="B1613" i="1"/>
  <c r="C1613" i="1"/>
  <c r="D1613" i="1"/>
  <c r="E1613" i="1"/>
  <c r="F1613" i="1"/>
  <c r="G1613" i="1"/>
  <c r="H1613" i="1"/>
  <c r="I1613" i="1"/>
  <c r="J1613" i="1"/>
  <c r="M1613" i="1"/>
  <c r="N1613" i="1"/>
  <c r="O1613" i="1"/>
  <c r="P1613" i="1"/>
  <c r="Q1613" i="1"/>
  <c r="R1613" i="1"/>
  <c r="S1613" i="1"/>
  <c r="T1613" i="1"/>
  <c r="U1613" i="1"/>
  <c r="A1614" i="1"/>
  <c r="B1614" i="1"/>
  <c r="C1614" i="1"/>
  <c r="D1614" i="1"/>
  <c r="E1614" i="1"/>
  <c r="F1614" i="1"/>
  <c r="G1614" i="1"/>
  <c r="H1614" i="1"/>
  <c r="I1614" i="1"/>
  <c r="J1614" i="1"/>
  <c r="M1614" i="1"/>
  <c r="N1614" i="1"/>
  <c r="O1614" i="1"/>
  <c r="P1614" i="1"/>
  <c r="Q1614" i="1"/>
  <c r="R1614" i="1"/>
  <c r="S1614" i="1"/>
  <c r="T1614" i="1"/>
  <c r="U1614" i="1"/>
  <c r="A1542" i="1"/>
  <c r="B1542" i="1"/>
  <c r="C1542" i="1"/>
  <c r="D1542" i="1"/>
  <c r="E1542" i="1"/>
  <c r="F1542" i="1"/>
  <c r="G1542" i="1"/>
  <c r="H1542" i="1"/>
  <c r="I1542" i="1"/>
  <c r="J1542" i="1"/>
  <c r="M1542" i="1"/>
  <c r="N1542" i="1"/>
  <c r="O1542" i="1"/>
  <c r="P1542" i="1"/>
  <c r="Q1542" i="1"/>
  <c r="R1542" i="1"/>
  <c r="S1542" i="1"/>
  <c r="T1542" i="1"/>
  <c r="U1542" i="1"/>
  <c r="A1543" i="1"/>
  <c r="B1543" i="1"/>
  <c r="C1543" i="1"/>
  <c r="D1543" i="1"/>
  <c r="E1543" i="1"/>
  <c r="F1543" i="1"/>
  <c r="G1543" i="1"/>
  <c r="H1543" i="1"/>
  <c r="I1543" i="1"/>
  <c r="J1543" i="1"/>
  <c r="M1543" i="1"/>
  <c r="N1543" i="1"/>
  <c r="O1543" i="1"/>
  <c r="P1543" i="1"/>
  <c r="Q1543" i="1"/>
  <c r="R1543" i="1"/>
  <c r="S1543" i="1"/>
  <c r="T1543" i="1"/>
  <c r="U1543" i="1"/>
  <c r="A1544" i="1"/>
  <c r="B1544" i="1"/>
  <c r="C1544" i="1"/>
  <c r="D1544" i="1"/>
  <c r="E1544" i="1"/>
  <c r="F1544" i="1"/>
  <c r="G1544" i="1"/>
  <c r="H1544" i="1"/>
  <c r="I1544" i="1"/>
  <c r="J1544" i="1"/>
  <c r="M1544" i="1"/>
  <c r="N1544" i="1"/>
  <c r="O1544" i="1"/>
  <c r="P1544" i="1"/>
  <c r="Q1544" i="1"/>
  <c r="R1544" i="1"/>
  <c r="S1544" i="1"/>
  <c r="T1544" i="1"/>
  <c r="U1544" i="1"/>
  <c r="A1545" i="1"/>
  <c r="B1545" i="1"/>
  <c r="C1545" i="1"/>
  <c r="D1545" i="1"/>
  <c r="E1545" i="1"/>
  <c r="F1545" i="1"/>
  <c r="G1545" i="1"/>
  <c r="H1545" i="1"/>
  <c r="I1545" i="1"/>
  <c r="J1545" i="1"/>
  <c r="M1545" i="1"/>
  <c r="N1545" i="1"/>
  <c r="O1545" i="1"/>
  <c r="P1545" i="1"/>
  <c r="Q1545" i="1"/>
  <c r="R1545" i="1"/>
  <c r="S1545" i="1"/>
  <c r="T1545" i="1"/>
  <c r="U1545" i="1"/>
  <c r="A1351" i="1"/>
  <c r="B1351" i="1"/>
  <c r="C1351" i="1"/>
  <c r="D1351" i="1"/>
  <c r="E1351" i="1"/>
  <c r="F1351" i="1"/>
  <c r="G1351" i="1"/>
  <c r="H1351" i="1"/>
  <c r="I1351" i="1"/>
  <c r="J1351" i="1"/>
  <c r="M1351" i="1"/>
  <c r="N1351" i="1"/>
  <c r="O1351" i="1"/>
  <c r="P1351" i="1"/>
  <c r="Q1351" i="1"/>
  <c r="R1351" i="1"/>
  <c r="S1351" i="1"/>
  <c r="T1351" i="1"/>
  <c r="U1351" i="1"/>
  <c r="A1352" i="1"/>
  <c r="B1352" i="1"/>
  <c r="C1352" i="1"/>
  <c r="D1352" i="1"/>
  <c r="E1352" i="1"/>
  <c r="F1352" i="1"/>
  <c r="G1352" i="1"/>
  <c r="H1352" i="1"/>
  <c r="I1352" i="1"/>
  <c r="J1352" i="1"/>
  <c r="M1352" i="1"/>
  <c r="N1352" i="1"/>
  <c r="O1352" i="1"/>
  <c r="P1352" i="1"/>
  <c r="Q1352" i="1"/>
  <c r="R1352" i="1"/>
  <c r="S1352" i="1"/>
  <c r="T1352" i="1"/>
  <c r="U1352" i="1"/>
  <c r="A1271" i="1"/>
  <c r="B1271" i="1"/>
  <c r="C1271" i="1"/>
  <c r="D1271" i="1"/>
  <c r="E1271" i="1"/>
  <c r="F1271" i="1"/>
  <c r="G1271" i="1"/>
  <c r="H1271" i="1"/>
  <c r="I1271" i="1"/>
  <c r="J1271" i="1"/>
  <c r="M1271" i="1"/>
  <c r="N1271" i="1"/>
  <c r="O1271" i="1"/>
  <c r="P1271" i="1"/>
  <c r="Q1271" i="1"/>
  <c r="R1271" i="1"/>
  <c r="S1271" i="1"/>
  <c r="T1271" i="1"/>
  <c r="U1271" i="1"/>
  <c r="A1272" i="1"/>
  <c r="B1272" i="1"/>
  <c r="C1272" i="1"/>
  <c r="D1272" i="1"/>
  <c r="E1272" i="1"/>
  <c r="F1272" i="1"/>
  <c r="G1272" i="1"/>
  <c r="H1272" i="1"/>
  <c r="I1272" i="1"/>
  <c r="J1272" i="1"/>
  <c r="M1272" i="1"/>
  <c r="N1272" i="1"/>
  <c r="O1272" i="1"/>
  <c r="P1272" i="1"/>
  <c r="Q1272" i="1"/>
  <c r="R1272" i="1"/>
  <c r="S1272" i="1"/>
  <c r="T1272" i="1"/>
  <c r="U1272" i="1"/>
  <c r="A1273" i="1"/>
  <c r="B1273" i="1"/>
  <c r="C1273" i="1"/>
  <c r="D1273" i="1"/>
  <c r="E1273" i="1"/>
  <c r="F1273" i="1"/>
  <c r="G1273" i="1"/>
  <c r="H1273" i="1"/>
  <c r="I1273" i="1"/>
  <c r="J1273" i="1"/>
  <c r="M1273" i="1"/>
  <c r="N1273" i="1"/>
  <c r="O1273" i="1"/>
  <c r="P1273" i="1"/>
  <c r="Q1273" i="1"/>
  <c r="R1273" i="1"/>
  <c r="S1273" i="1"/>
  <c r="T1273" i="1"/>
  <c r="U1273" i="1"/>
  <c r="A1274" i="1"/>
  <c r="B1274" i="1"/>
  <c r="C1274" i="1"/>
  <c r="D1274" i="1"/>
  <c r="E1274" i="1"/>
  <c r="F1274" i="1"/>
  <c r="G1274" i="1"/>
  <c r="H1274" i="1"/>
  <c r="I1274" i="1"/>
  <c r="J1274" i="1"/>
  <c r="M1274" i="1"/>
  <c r="N1274" i="1"/>
  <c r="O1274" i="1"/>
  <c r="P1274" i="1"/>
  <c r="Q1274" i="1"/>
  <c r="R1274" i="1"/>
  <c r="S1274" i="1"/>
  <c r="T1274" i="1"/>
  <c r="U1274" i="1"/>
  <c r="A1275" i="1"/>
  <c r="B1275" i="1"/>
  <c r="C1275" i="1"/>
  <c r="D1275" i="1"/>
  <c r="E1275" i="1"/>
  <c r="F1275" i="1"/>
  <c r="G1275" i="1"/>
  <c r="H1275" i="1"/>
  <c r="I1275" i="1"/>
  <c r="J1275" i="1"/>
  <c r="M1275" i="1"/>
  <c r="N1275" i="1"/>
  <c r="O1275" i="1"/>
  <c r="P1275" i="1"/>
  <c r="Q1275" i="1"/>
  <c r="R1275" i="1"/>
  <c r="S1275" i="1"/>
  <c r="T1275" i="1"/>
  <c r="U1275" i="1"/>
  <c r="A1276" i="1"/>
  <c r="B1276" i="1"/>
  <c r="C1276" i="1"/>
  <c r="D1276" i="1"/>
  <c r="E1276" i="1"/>
  <c r="F1276" i="1"/>
  <c r="G1276" i="1"/>
  <c r="H1276" i="1"/>
  <c r="I1276" i="1"/>
  <c r="J1276" i="1"/>
  <c r="M1276" i="1"/>
  <c r="N1276" i="1"/>
  <c r="O1276" i="1"/>
  <c r="P1276" i="1"/>
  <c r="Q1276" i="1"/>
  <c r="R1276" i="1"/>
  <c r="S1276" i="1"/>
  <c r="T1276" i="1"/>
  <c r="U1276" i="1"/>
  <c r="A1277" i="1"/>
  <c r="B1277" i="1"/>
  <c r="C1277" i="1"/>
  <c r="D1277" i="1"/>
  <c r="E1277" i="1"/>
  <c r="F1277" i="1"/>
  <c r="G1277" i="1"/>
  <c r="H1277" i="1"/>
  <c r="I1277" i="1"/>
  <c r="J1277" i="1"/>
  <c r="M1277" i="1"/>
  <c r="N1277" i="1"/>
  <c r="O1277" i="1"/>
  <c r="P1277" i="1"/>
  <c r="Q1277" i="1"/>
  <c r="R1277" i="1"/>
  <c r="S1277" i="1"/>
  <c r="T1277" i="1"/>
  <c r="U1277" i="1"/>
  <c r="A1205" i="1"/>
  <c r="B1205" i="1"/>
  <c r="C1205" i="1"/>
  <c r="D1205" i="1"/>
  <c r="E1205" i="1"/>
  <c r="F1205" i="1"/>
  <c r="G1205" i="1"/>
  <c r="H1205" i="1"/>
  <c r="I1205" i="1"/>
  <c r="J1205" i="1"/>
  <c r="M1205" i="1"/>
  <c r="N1205" i="1"/>
  <c r="O1205" i="1"/>
  <c r="P1205" i="1"/>
  <c r="Q1205" i="1"/>
  <c r="R1205" i="1"/>
  <c r="S1205" i="1"/>
  <c r="T1205" i="1"/>
  <c r="U1205" i="1"/>
  <c r="A1204" i="1"/>
  <c r="B1204" i="1"/>
  <c r="C1204" i="1"/>
  <c r="D1204" i="1"/>
  <c r="E1204" i="1"/>
  <c r="F1204" i="1"/>
  <c r="G1204" i="1"/>
  <c r="H1204" i="1"/>
  <c r="I1204" i="1"/>
  <c r="J1204" i="1"/>
  <c r="M1204" i="1"/>
  <c r="N1204" i="1"/>
  <c r="O1204" i="1"/>
  <c r="Q1204" i="1"/>
  <c r="R1204" i="1"/>
  <c r="S1204" i="1"/>
  <c r="T1204" i="1"/>
  <c r="U1204" i="1"/>
  <c r="A1206" i="1"/>
  <c r="B1206" i="1"/>
  <c r="C1206" i="1"/>
  <c r="D1206" i="1"/>
  <c r="E1206" i="1"/>
  <c r="F1206" i="1"/>
  <c r="G1206" i="1"/>
  <c r="H1206" i="1"/>
  <c r="I1206" i="1"/>
  <c r="J1206" i="1"/>
  <c r="M1206" i="1"/>
  <c r="N1206" i="1"/>
  <c r="O1206" i="1"/>
  <c r="P1206" i="1"/>
  <c r="Q1206" i="1"/>
  <c r="R1206" i="1"/>
  <c r="S1206" i="1"/>
  <c r="T1206" i="1"/>
  <c r="U1206" i="1"/>
  <c r="A1207" i="1"/>
  <c r="B1207" i="1"/>
  <c r="C1207" i="1"/>
  <c r="D1207" i="1"/>
  <c r="E1207" i="1"/>
  <c r="F1207" i="1"/>
  <c r="G1207" i="1"/>
  <c r="H1207" i="1"/>
  <c r="I1207" i="1"/>
  <c r="J1207" i="1"/>
  <c r="M1207" i="1"/>
  <c r="N1207" i="1"/>
  <c r="O1207" i="1"/>
  <c r="P1207" i="1"/>
  <c r="Q1207" i="1"/>
  <c r="R1207" i="1"/>
  <c r="S1207" i="1"/>
  <c r="T1207" i="1"/>
  <c r="U1207" i="1"/>
  <c r="A1208" i="1"/>
  <c r="B1208" i="1"/>
  <c r="C1208" i="1"/>
  <c r="D1208" i="1"/>
  <c r="E1208" i="1"/>
  <c r="F1208" i="1"/>
  <c r="G1208" i="1"/>
  <c r="H1208" i="1"/>
  <c r="I1208" i="1"/>
  <c r="J1208" i="1"/>
  <c r="M1208" i="1"/>
  <c r="N1208" i="1"/>
  <c r="O1208" i="1"/>
  <c r="P1208" i="1"/>
  <c r="Q1208" i="1"/>
  <c r="R1208" i="1"/>
  <c r="S1208" i="1"/>
  <c r="T1208" i="1"/>
  <c r="U1208" i="1"/>
  <c r="A1209" i="1"/>
  <c r="B1209" i="1"/>
  <c r="C1209" i="1"/>
  <c r="D1209" i="1"/>
  <c r="E1209" i="1"/>
  <c r="F1209" i="1"/>
  <c r="G1209" i="1"/>
  <c r="H1209" i="1"/>
  <c r="I1209" i="1"/>
  <c r="J1209" i="1"/>
  <c r="M1209" i="1"/>
  <c r="N1209" i="1"/>
  <c r="O1209" i="1"/>
  <c r="P1209" i="1"/>
  <c r="Q1209" i="1"/>
  <c r="R1209" i="1"/>
  <c r="S1209" i="1"/>
  <c r="T1209" i="1"/>
  <c r="U1209" i="1"/>
  <c r="A1122" i="1"/>
  <c r="B1122" i="1"/>
  <c r="C1122" i="1"/>
  <c r="D1122" i="1"/>
  <c r="E1122" i="1"/>
  <c r="F1122" i="1"/>
  <c r="G1122" i="1"/>
  <c r="H1122" i="1"/>
  <c r="I1122" i="1"/>
  <c r="J1122" i="1"/>
  <c r="M1122" i="1"/>
  <c r="N1122" i="1"/>
  <c r="O1122" i="1"/>
  <c r="P1122" i="1"/>
  <c r="Q1122" i="1"/>
  <c r="R1122" i="1"/>
  <c r="S1122" i="1"/>
  <c r="T1122" i="1"/>
  <c r="U1122" i="1"/>
  <c r="A1121" i="1"/>
  <c r="B1121" i="1"/>
  <c r="C1121" i="1"/>
  <c r="D1121" i="1"/>
  <c r="E1121" i="1"/>
  <c r="F1121" i="1"/>
  <c r="G1121" i="1"/>
  <c r="H1121" i="1"/>
  <c r="I1121" i="1"/>
  <c r="J1121" i="1"/>
  <c r="M1121" i="1"/>
  <c r="N1121" i="1"/>
  <c r="O1121" i="1"/>
  <c r="P1121" i="1"/>
  <c r="Q1121" i="1"/>
  <c r="R1121" i="1"/>
  <c r="S1121" i="1"/>
  <c r="T1121" i="1"/>
  <c r="U1121" i="1"/>
  <c r="A897" i="1"/>
  <c r="B897" i="1"/>
  <c r="C897" i="1"/>
  <c r="D897" i="1"/>
  <c r="E897" i="1"/>
  <c r="F897" i="1"/>
  <c r="G897" i="1"/>
  <c r="H897" i="1"/>
  <c r="I897" i="1"/>
  <c r="J897" i="1"/>
  <c r="M897" i="1"/>
  <c r="N897" i="1"/>
  <c r="O897" i="1"/>
  <c r="P897" i="1"/>
  <c r="Q897" i="1"/>
  <c r="R897" i="1"/>
  <c r="S897" i="1"/>
  <c r="T897" i="1"/>
  <c r="U897" i="1"/>
  <c r="A898" i="1"/>
  <c r="B898" i="1"/>
  <c r="C898" i="1"/>
  <c r="D898" i="1"/>
  <c r="E898" i="1"/>
  <c r="F898" i="1"/>
  <c r="G898" i="1"/>
  <c r="H898" i="1"/>
  <c r="I898" i="1"/>
  <c r="J898" i="1"/>
  <c r="M898" i="1"/>
  <c r="N898" i="1"/>
  <c r="O898" i="1"/>
  <c r="P898" i="1"/>
  <c r="Q898" i="1"/>
  <c r="R898" i="1"/>
  <c r="S898" i="1"/>
  <c r="T898" i="1"/>
  <c r="U898" i="1"/>
  <c r="A899" i="1"/>
  <c r="B899" i="1"/>
  <c r="C899" i="1"/>
  <c r="D899" i="1"/>
  <c r="E899" i="1"/>
  <c r="F899" i="1"/>
  <c r="G899" i="1"/>
  <c r="H899" i="1"/>
  <c r="I899" i="1"/>
  <c r="J899" i="1"/>
  <c r="M899" i="1"/>
  <c r="N899" i="1"/>
  <c r="O899" i="1"/>
  <c r="P899" i="1"/>
  <c r="Q899" i="1"/>
  <c r="R899" i="1"/>
  <c r="S899" i="1"/>
  <c r="T899" i="1"/>
  <c r="U899" i="1"/>
  <c r="A900" i="1"/>
  <c r="B900" i="1"/>
  <c r="C900" i="1"/>
  <c r="D900" i="1"/>
  <c r="E900" i="1"/>
  <c r="F900" i="1"/>
  <c r="G900" i="1"/>
  <c r="H900" i="1"/>
  <c r="I900" i="1"/>
  <c r="J900" i="1"/>
  <c r="M900" i="1"/>
  <c r="N900" i="1"/>
  <c r="O900" i="1"/>
  <c r="P900" i="1"/>
  <c r="Q900" i="1"/>
  <c r="R900" i="1"/>
  <c r="S900" i="1"/>
  <c r="T900" i="1"/>
  <c r="U900" i="1"/>
  <c r="A901" i="1"/>
  <c r="B901" i="1"/>
  <c r="C901" i="1"/>
  <c r="D901" i="1"/>
  <c r="E901" i="1"/>
  <c r="F901" i="1"/>
  <c r="G901" i="1"/>
  <c r="H901" i="1"/>
  <c r="I901" i="1"/>
  <c r="J901" i="1"/>
  <c r="M901" i="1"/>
  <c r="N901" i="1"/>
  <c r="O901" i="1"/>
  <c r="P901" i="1"/>
  <c r="Q901" i="1"/>
  <c r="R901" i="1"/>
  <c r="S901" i="1"/>
  <c r="T901" i="1"/>
  <c r="U901" i="1"/>
  <c r="A818" i="1"/>
  <c r="B818" i="1"/>
  <c r="C818" i="1"/>
  <c r="D818" i="1"/>
  <c r="E818" i="1"/>
  <c r="F818" i="1"/>
  <c r="G818" i="1"/>
  <c r="H818" i="1"/>
  <c r="I818" i="1"/>
  <c r="J818" i="1"/>
  <c r="M818" i="1"/>
  <c r="N818" i="1"/>
  <c r="O818" i="1"/>
  <c r="P818" i="1"/>
  <c r="Q818" i="1"/>
  <c r="R818" i="1"/>
  <c r="S818" i="1"/>
  <c r="T818" i="1"/>
  <c r="U818" i="1"/>
  <c r="A819" i="1"/>
  <c r="B819" i="1"/>
  <c r="C819" i="1"/>
  <c r="D819" i="1"/>
  <c r="E819" i="1"/>
  <c r="F819" i="1"/>
  <c r="G819" i="1"/>
  <c r="H819" i="1"/>
  <c r="I819" i="1"/>
  <c r="J819" i="1"/>
  <c r="M819" i="1"/>
  <c r="N819" i="1"/>
  <c r="O819" i="1"/>
  <c r="P819" i="1"/>
  <c r="Q819" i="1"/>
  <c r="R819" i="1"/>
  <c r="S819" i="1"/>
  <c r="T819" i="1"/>
  <c r="U819" i="1"/>
  <c r="A820" i="1"/>
  <c r="B820" i="1"/>
  <c r="C820" i="1"/>
  <c r="D820" i="1"/>
  <c r="E820" i="1"/>
  <c r="F820" i="1"/>
  <c r="G820" i="1"/>
  <c r="H820" i="1"/>
  <c r="I820" i="1"/>
  <c r="J820" i="1"/>
  <c r="M820" i="1"/>
  <c r="N820" i="1"/>
  <c r="O820" i="1"/>
  <c r="P820" i="1"/>
  <c r="Q820" i="1"/>
  <c r="R820" i="1"/>
  <c r="S820" i="1"/>
  <c r="T820" i="1"/>
  <c r="U820" i="1"/>
  <c r="A821" i="1"/>
  <c r="B821" i="1"/>
  <c r="C821" i="1"/>
  <c r="D821" i="1"/>
  <c r="E821" i="1"/>
  <c r="F821" i="1"/>
  <c r="G821" i="1"/>
  <c r="H821" i="1"/>
  <c r="I821" i="1"/>
  <c r="J821" i="1"/>
  <c r="M821" i="1"/>
  <c r="N821" i="1"/>
  <c r="O821" i="1"/>
  <c r="P821" i="1"/>
  <c r="Q821" i="1"/>
  <c r="R821" i="1"/>
  <c r="S821" i="1"/>
  <c r="T821" i="1"/>
  <c r="U821" i="1"/>
  <c r="A824" i="1"/>
  <c r="B824" i="1"/>
  <c r="C824" i="1"/>
  <c r="D824" i="1"/>
  <c r="E824" i="1"/>
  <c r="F824" i="1"/>
  <c r="G824" i="1"/>
  <c r="H824" i="1"/>
  <c r="I824" i="1"/>
  <c r="J824" i="1"/>
  <c r="M824" i="1"/>
  <c r="N824" i="1"/>
  <c r="O824" i="1"/>
  <c r="P824" i="1"/>
  <c r="Q824" i="1"/>
  <c r="R824" i="1"/>
  <c r="S824" i="1"/>
  <c r="T824" i="1"/>
  <c r="U824" i="1"/>
  <c r="A822" i="1"/>
  <c r="B822" i="1"/>
  <c r="C822" i="1"/>
  <c r="D822" i="1"/>
  <c r="E822" i="1"/>
  <c r="F822" i="1"/>
  <c r="G822" i="1"/>
  <c r="H822" i="1"/>
  <c r="I822" i="1"/>
  <c r="J822" i="1"/>
  <c r="M822" i="1"/>
  <c r="N822" i="1"/>
  <c r="O822" i="1"/>
  <c r="P822" i="1"/>
  <c r="Q822" i="1"/>
  <c r="R822" i="1"/>
  <c r="S822" i="1"/>
  <c r="T822" i="1"/>
  <c r="U822" i="1"/>
  <c r="A823" i="1"/>
  <c r="B823" i="1"/>
  <c r="C823" i="1"/>
  <c r="D823" i="1"/>
  <c r="E823" i="1"/>
  <c r="F823" i="1"/>
  <c r="G823" i="1"/>
  <c r="H823" i="1"/>
  <c r="I823" i="1"/>
  <c r="J823" i="1"/>
  <c r="M823" i="1"/>
  <c r="N823" i="1"/>
  <c r="O823" i="1"/>
  <c r="P823" i="1"/>
  <c r="Q823" i="1"/>
  <c r="R823" i="1"/>
  <c r="S823" i="1"/>
  <c r="T823" i="1"/>
  <c r="U823" i="1"/>
  <c r="A825" i="1"/>
  <c r="B825" i="1"/>
  <c r="C825" i="1"/>
  <c r="D825" i="1"/>
  <c r="E825" i="1"/>
  <c r="F825" i="1"/>
  <c r="G825" i="1"/>
  <c r="H825" i="1"/>
  <c r="I825" i="1"/>
  <c r="J825" i="1"/>
  <c r="M825" i="1"/>
  <c r="N825" i="1"/>
  <c r="O825" i="1"/>
  <c r="P825" i="1"/>
  <c r="Q825" i="1"/>
  <c r="R825" i="1"/>
  <c r="S825" i="1"/>
  <c r="T825" i="1"/>
  <c r="U825" i="1"/>
  <c r="A770" i="1"/>
  <c r="B770" i="1"/>
  <c r="C770" i="1"/>
  <c r="D770" i="1"/>
  <c r="E770" i="1"/>
  <c r="F770" i="1"/>
  <c r="G770" i="1"/>
  <c r="H770" i="1"/>
  <c r="I770" i="1"/>
  <c r="J770" i="1"/>
  <c r="M770" i="1"/>
  <c r="N770" i="1"/>
  <c r="O770" i="1"/>
  <c r="Q770" i="1"/>
  <c r="R770" i="1"/>
  <c r="S770" i="1"/>
  <c r="T770" i="1"/>
  <c r="U770" i="1"/>
  <c r="A728" i="1"/>
  <c r="B728" i="1"/>
  <c r="C728" i="1"/>
  <c r="D728" i="1"/>
  <c r="E728" i="1"/>
  <c r="F728" i="1"/>
  <c r="G728" i="1"/>
  <c r="H728" i="1"/>
  <c r="I728" i="1"/>
  <c r="J728" i="1"/>
  <c r="M728" i="1"/>
  <c r="N728" i="1"/>
  <c r="O728" i="1"/>
  <c r="P728" i="1"/>
  <c r="Q728" i="1"/>
  <c r="R728" i="1"/>
  <c r="S728" i="1"/>
  <c r="T728" i="1"/>
  <c r="U728" i="1"/>
  <c r="A668" i="1"/>
  <c r="B668" i="1"/>
  <c r="C668" i="1"/>
  <c r="D668" i="1"/>
  <c r="E668" i="1"/>
  <c r="F668" i="1"/>
  <c r="G668" i="1"/>
  <c r="H668" i="1"/>
  <c r="I668" i="1"/>
  <c r="J668" i="1"/>
  <c r="M668" i="1"/>
  <c r="N668" i="1"/>
  <c r="O668" i="1"/>
  <c r="P668" i="1"/>
  <c r="Q668" i="1"/>
  <c r="R668" i="1"/>
  <c r="S668" i="1"/>
  <c r="T668" i="1"/>
  <c r="U668" i="1"/>
  <c r="A669" i="1"/>
  <c r="B669" i="1"/>
  <c r="C669" i="1"/>
  <c r="D669" i="1"/>
  <c r="E669" i="1"/>
  <c r="F669" i="1"/>
  <c r="G669" i="1"/>
  <c r="H669" i="1"/>
  <c r="I669" i="1"/>
  <c r="J669" i="1"/>
  <c r="M669" i="1"/>
  <c r="N669" i="1"/>
  <c r="O669" i="1"/>
  <c r="P669" i="1"/>
  <c r="Q669" i="1"/>
  <c r="R669" i="1"/>
  <c r="S669" i="1"/>
  <c r="T669" i="1"/>
  <c r="U669" i="1"/>
  <c r="A670" i="1"/>
  <c r="B670" i="1"/>
  <c r="C670" i="1"/>
  <c r="D670" i="1"/>
  <c r="E670" i="1"/>
  <c r="F670" i="1"/>
  <c r="G670" i="1"/>
  <c r="H670" i="1"/>
  <c r="I670" i="1"/>
  <c r="J670" i="1"/>
  <c r="M670" i="1"/>
  <c r="N670" i="1"/>
  <c r="O670" i="1"/>
  <c r="P670" i="1"/>
  <c r="Q670" i="1"/>
  <c r="R670" i="1"/>
  <c r="S670" i="1"/>
  <c r="T670" i="1"/>
  <c r="U670" i="1"/>
  <c r="A539" i="1"/>
  <c r="B539" i="1"/>
  <c r="C539" i="1"/>
  <c r="D539" i="1"/>
  <c r="E539" i="1"/>
  <c r="F539" i="1"/>
  <c r="G539" i="1"/>
  <c r="H539" i="1"/>
  <c r="I539" i="1"/>
  <c r="J539" i="1"/>
  <c r="M539" i="1"/>
  <c r="N539" i="1"/>
  <c r="O539" i="1"/>
  <c r="P539" i="1"/>
  <c r="Q539" i="1"/>
  <c r="R539" i="1"/>
  <c r="S539" i="1"/>
  <c r="T539" i="1"/>
  <c r="U539" i="1"/>
  <c r="A540" i="1"/>
  <c r="B540" i="1"/>
  <c r="C540" i="1"/>
  <c r="D540" i="1"/>
  <c r="E540" i="1"/>
  <c r="F540" i="1"/>
  <c r="G540" i="1"/>
  <c r="H540" i="1"/>
  <c r="I540" i="1"/>
  <c r="J540" i="1"/>
  <c r="M540" i="1"/>
  <c r="N540" i="1"/>
  <c r="O540" i="1"/>
  <c r="P540" i="1"/>
  <c r="Q540" i="1"/>
  <c r="R540" i="1"/>
  <c r="S540" i="1"/>
  <c r="T540" i="1"/>
  <c r="U540" i="1"/>
  <c r="A541" i="1"/>
  <c r="B541" i="1"/>
  <c r="C541" i="1"/>
  <c r="D541" i="1"/>
  <c r="E541" i="1"/>
  <c r="F541" i="1"/>
  <c r="G541" i="1"/>
  <c r="H541" i="1"/>
  <c r="I541" i="1"/>
  <c r="J541" i="1"/>
  <c r="M541" i="1"/>
  <c r="N541" i="1"/>
  <c r="O541" i="1"/>
  <c r="P541" i="1"/>
  <c r="Q541" i="1"/>
  <c r="R541" i="1"/>
  <c r="S541" i="1"/>
  <c r="T541" i="1"/>
  <c r="U541" i="1"/>
  <c r="A542" i="1"/>
  <c r="B542" i="1"/>
  <c r="C542" i="1"/>
  <c r="D542" i="1"/>
  <c r="E542" i="1"/>
  <c r="F542" i="1"/>
  <c r="G542" i="1"/>
  <c r="H542" i="1"/>
  <c r="I542" i="1"/>
  <c r="J542" i="1"/>
  <c r="M542" i="1"/>
  <c r="N542" i="1"/>
  <c r="O542" i="1"/>
  <c r="P542" i="1"/>
  <c r="Q542" i="1"/>
  <c r="R542" i="1"/>
  <c r="S542" i="1"/>
  <c r="T542" i="1"/>
  <c r="U542" i="1"/>
  <c r="A544" i="1"/>
  <c r="B544" i="1"/>
  <c r="C544" i="1"/>
  <c r="D544" i="1"/>
  <c r="E544" i="1"/>
  <c r="F544" i="1"/>
  <c r="G544" i="1"/>
  <c r="H544" i="1"/>
  <c r="I544" i="1"/>
  <c r="J544" i="1"/>
  <c r="M544" i="1"/>
  <c r="N544" i="1"/>
  <c r="O544" i="1"/>
  <c r="P544" i="1"/>
  <c r="Q544" i="1"/>
  <c r="R544" i="1"/>
  <c r="S544" i="1"/>
  <c r="T544" i="1"/>
  <c r="U544" i="1"/>
  <c r="A545" i="1"/>
  <c r="B545" i="1"/>
  <c r="C545" i="1"/>
  <c r="D545" i="1"/>
  <c r="E545" i="1"/>
  <c r="F545" i="1"/>
  <c r="G545" i="1"/>
  <c r="H545" i="1"/>
  <c r="I545" i="1"/>
  <c r="J545" i="1"/>
  <c r="M545" i="1"/>
  <c r="N545" i="1"/>
  <c r="O545" i="1"/>
  <c r="P545" i="1"/>
  <c r="Q545" i="1"/>
  <c r="R545" i="1"/>
  <c r="S545" i="1"/>
  <c r="T545" i="1"/>
  <c r="U545" i="1"/>
  <c r="A543" i="1"/>
  <c r="B543" i="1"/>
  <c r="C543" i="1"/>
  <c r="D543" i="1"/>
  <c r="E543" i="1"/>
  <c r="F543" i="1"/>
  <c r="G543" i="1"/>
  <c r="H543" i="1"/>
  <c r="I543" i="1"/>
  <c r="J543" i="1"/>
  <c r="M543" i="1"/>
  <c r="N543" i="1"/>
  <c r="O543" i="1"/>
  <c r="P543" i="1"/>
  <c r="Q543" i="1"/>
  <c r="R543" i="1"/>
  <c r="S543" i="1"/>
  <c r="T543" i="1"/>
  <c r="U543" i="1"/>
  <c r="A408" i="1"/>
  <c r="B408" i="1"/>
  <c r="C408" i="1"/>
  <c r="D408" i="1"/>
  <c r="E408" i="1"/>
  <c r="F408" i="1"/>
  <c r="G408" i="1"/>
  <c r="H408" i="1"/>
  <c r="I408" i="1"/>
  <c r="J408" i="1"/>
  <c r="M408" i="1"/>
  <c r="N408" i="1"/>
  <c r="O408" i="1"/>
  <c r="P408" i="1"/>
  <c r="Q408" i="1"/>
  <c r="R408" i="1"/>
  <c r="S408" i="1"/>
  <c r="T408" i="1"/>
  <c r="U408" i="1"/>
  <c r="A409" i="1"/>
  <c r="B409" i="1"/>
  <c r="C409" i="1"/>
  <c r="D409" i="1"/>
  <c r="E409" i="1"/>
  <c r="F409" i="1"/>
  <c r="G409" i="1"/>
  <c r="H409" i="1"/>
  <c r="I409" i="1"/>
  <c r="J409" i="1"/>
  <c r="M409" i="1"/>
  <c r="N409" i="1"/>
  <c r="O409" i="1"/>
  <c r="P409" i="1"/>
  <c r="Q409" i="1"/>
  <c r="R409" i="1"/>
  <c r="S409" i="1"/>
  <c r="T409" i="1"/>
  <c r="U409" i="1"/>
  <c r="A410" i="1"/>
  <c r="B410" i="1"/>
  <c r="C410" i="1"/>
  <c r="D410" i="1"/>
  <c r="E410" i="1"/>
  <c r="F410" i="1"/>
  <c r="G410" i="1"/>
  <c r="H410" i="1"/>
  <c r="I410" i="1"/>
  <c r="J410" i="1"/>
  <c r="M410" i="1"/>
  <c r="N410" i="1"/>
  <c r="O410" i="1"/>
  <c r="P410" i="1"/>
  <c r="Q410" i="1"/>
  <c r="R410" i="1"/>
  <c r="S410" i="1"/>
  <c r="T410" i="1"/>
  <c r="U410" i="1"/>
  <c r="A411" i="1"/>
  <c r="B411" i="1"/>
  <c r="C411" i="1"/>
  <c r="D411" i="1"/>
  <c r="E411" i="1"/>
  <c r="F411" i="1"/>
  <c r="G411" i="1"/>
  <c r="H411" i="1"/>
  <c r="I411" i="1"/>
  <c r="J411" i="1"/>
  <c r="M411" i="1"/>
  <c r="N411" i="1"/>
  <c r="O411" i="1"/>
  <c r="P411" i="1"/>
  <c r="Q411" i="1"/>
  <c r="R411" i="1"/>
  <c r="S411" i="1"/>
  <c r="T411" i="1"/>
  <c r="U411" i="1"/>
  <c r="A412" i="1"/>
  <c r="B412" i="1"/>
  <c r="C412" i="1"/>
  <c r="D412" i="1"/>
  <c r="E412" i="1"/>
  <c r="F412" i="1"/>
  <c r="G412" i="1"/>
  <c r="H412" i="1"/>
  <c r="I412" i="1"/>
  <c r="J412" i="1"/>
  <c r="M412" i="1"/>
  <c r="N412" i="1"/>
  <c r="O412" i="1"/>
  <c r="P412" i="1"/>
  <c r="Q412" i="1"/>
  <c r="R412" i="1"/>
  <c r="S412" i="1"/>
  <c r="T412" i="1"/>
  <c r="U412" i="1"/>
  <c r="A415" i="1"/>
  <c r="B415" i="1"/>
  <c r="C415" i="1"/>
  <c r="D415" i="1"/>
  <c r="E415" i="1"/>
  <c r="F415" i="1"/>
  <c r="G415" i="1"/>
  <c r="H415" i="1"/>
  <c r="I415" i="1"/>
  <c r="J415" i="1"/>
  <c r="M415" i="1"/>
  <c r="N415" i="1"/>
  <c r="O415" i="1"/>
  <c r="P415" i="1"/>
  <c r="Q415" i="1"/>
  <c r="R415" i="1"/>
  <c r="S415" i="1"/>
  <c r="T415" i="1"/>
  <c r="U415" i="1"/>
  <c r="A413" i="1"/>
  <c r="B413" i="1"/>
  <c r="C413" i="1"/>
  <c r="D413" i="1"/>
  <c r="E413" i="1"/>
  <c r="F413" i="1"/>
  <c r="G413" i="1"/>
  <c r="H413" i="1"/>
  <c r="I413" i="1"/>
  <c r="J413" i="1"/>
  <c r="M413" i="1"/>
  <c r="N413" i="1"/>
  <c r="O413" i="1"/>
  <c r="P413" i="1"/>
  <c r="Q413" i="1"/>
  <c r="R413" i="1"/>
  <c r="S413" i="1"/>
  <c r="T413" i="1"/>
  <c r="U413" i="1"/>
  <c r="A416" i="1"/>
  <c r="B416" i="1"/>
  <c r="C416" i="1"/>
  <c r="D416" i="1"/>
  <c r="E416" i="1"/>
  <c r="F416" i="1"/>
  <c r="G416" i="1"/>
  <c r="H416" i="1"/>
  <c r="I416" i="1"/>
  <c r="J416" i="1"/>
  <c r="M416" i="1"/>
  <c r="N416" i="1"/>
  <c r="O416" i="1"/>
  <c r="P416" i="1"/>
  <c r="Q416" i="1"/>
  <c r="R416" i="1"/>
  <c r="S416" i="1"/>
  <c r="T416" i="1"/>
  <c r="U416" i="1"/>
  <c r="A277" i="1"/>
  <c r="B277" i="1"/>
  <c r="C277" i="1"/>
  <c r="D277" i="1"/>
  <c r="E277" i="1"/>
  <c r="F277" i="1"/>
  <c r="G277" i="1"/>
  <c r="H277" i="1"/>
  <c r="I277" i="1"/>
  <c r="J277" i="1"/>
  <c r="M277" i="1"/>
  <c r="N277" i="1"/>
  <c r="O277" i="1"/>
  <c r="P277" i="1"/>
  <c r="Q277" i="1"/>
  <c r="R277" i="1"/>
  <c r="S277" i="1"/>
  <c r="T277" i="1"/>
  <c r="U277" i="1"/>
  <c r="A278" i="1"/>
  <c r="B278" i="1"/>
  <c r="C278" i="1"/>
  <c r="D278" i="1"/>
  <c r="E278" i="1"/>
  <c r="F278" i="1"/>
  <c r="G278" i="1"/>
  <c r="H278" i="1"/>
  <c r="I278" i="1"/>
  <c r="J278" i="1"/>
  <c r="M278" i="1"/>
  <c r="N278" i="1"/>
  <c r="O278" i="1"/>
  <c r="P278" i="1"/>
  <c r="Q278" i="1"/>
  <c r="R278" i="1"/>
  <c r="S278" i="1"/>
  <c r="T278" i="1"/>
  <c r="U278" i="1"/>
  <c r="A279" i="1"/>
  <c r="B279" i="1"/>
  <c r="C279" i="1"/>
  <c r="D279" i="1"/>
  <c r="E279" i="1"/>
  <c r="F279" i="1"/>
  <c r="G279" i="1"/>
  <c r="H279" i="1"/>
  <c r="I279" i="1"/>
  <c r="J279" i="1"/>
  <c r="M279" i="1"/>
  <c r="N279" i="1"/>
  <c r="O279" i="1"/>
  <c r="P279" i="1"/>
  <c r="Q279" i="1"/>
  <c r="R279" i="1"/>
  <c r="S279" i="1"/>
  <c r="T279" i="1"/>
  <c r="U279" i="1"/>
  <c r="A280" i="1"/>
  <c r="B280" i="1"/>
  <c r="C280" i="1"/>
  <c r="D280" i="1"/>
  <c r="E280" i="1"/>
  <c r="F280" i="1"/>
  <c r="G280" i="1"/>
  <c r="H280" i="1"/>
  <c r="I280" i="1"/>
  <c r="J280" i="1"/>
  <c r="M280" i="1"/>
  <c r="N280" i="1"/>
  <c r="O280" i="1"/>
  <c r="P280" i="1"/>
  <c r="Q280" i="1"/>
  <c r="R280" i="1"/>
  <c r="S280" i="1"/>
  <c r="T280" i="1"/>
  <c r="U280" i="1"/>
  <c r="A281" i="1"/>
  <c r="B281" i="1"/>
  <c r="C281" i="1"/>
  <c r="D281" i="1"/>
  <c r="E281" i="1"/>
  <c r="F281" i="1"/>
  <c r="G281" i="1"/>
  <c r="H281" i="1"/>
  <c r="I281" i="1"/>
  <c r="J281" i="1"/>
  <c r="M281" i="1"/>
  <c r="N281" i="1"/>
  <c r="O281" i="1"/>
  <c r="P281" i="1"/>
  <c r="Q281" i="1"/>
  <c r="R281" i="1"/>
  <c r="S281" i="1"/>
  <c r="T281" i="1"/>
  <c r="U281" i="1"/>
  <c r="A33" i="1"/>
  <c r="B33" i="1"/>
  <c r="C33" i="1"/>
  <c r="D33" i="1"/>
  <c r="E33" i="1"/>
  <c r="F33" i="1"/>
  <c r="G33" i="1"/>
  <c r="H33" i="1"/>
  <c r="I33" i="1"/>
  <c r="J33" i="1"/>
  <c r="M33" i="1"/>
  <c r="N33" i="1"/>
  <c r="O33" i="1"/>
  <c r="P33" i="1"/>
  <c r="Q33" i="1"/>
  <c r="R33" i="1"/>
  <c r="S33" i="1"/>
  <c r="T33" i="1"/>
  <c r="U33" i="1"/>
  <c r="A34" i="1"/>
  <c r="B34" i="1"/>
  <c r="C34" i="1"/>
  <c r="D34" i="1"/>
  <c r="E34" i="1"/>
  <c r="F34" i="1"/>
  <c r="G34" i="1"/>
  <c r="H34" i="1"/>
  <c r="I34" i="1"/>
  <c r="J34" i="1"/>
  <c r="M34" i="1"/>
  <c r="N34" i="1"/>
  <c r="O34" i="1"/>
  <c r="P34" i="1"/>
  <c r="Q34" i="1"/>
  <c r="R34" i="1"/>
  <c r="S34" i="1"/>
  <c r="T34" i="1"/>
  <c r="U34" i="1"/>
  <c r="A35" i="1"/>
  <c r="B35" i="1"/>
  <c r="C35" i="1"/>
  <c r="D35" i="1"/>
  <c r="E35" i="1"/>
  <c r="F35" i="1"/>
  <c r="G35" i="1"/>
  <c r="H35" i="1"/>
  <c r="I35" i="1"/>
  <c r="J35" i="1"/>
  <c r="M35" i="1"/>
  <c r="N35" i="1"/>
  <c r="O35" i="1"/>
  <c r="P35" i="1"/>
  <c r="Q35" i="1"/>
  <c r="R35" i="1"/>
  <c r="S35" i="1"/>
  <c r="T35" i="1"/>
  <c r="U35" i="1"/>
  <c r="A36" i="1"/>
  <c r="B36" i="1"/>
  <c r="C36" i="1"/>
  <c r="D36" i="1"/>
  <c r="E36" i="1"/>
  <c r="F36" i="1"/>
  <c r="G36" i="1"/>
  <c r="H36" i="1"/>
  <c r="I36" i="1"/>
  <c r="J36" i="1"/>
  <c r="M36" i="1"/>
  <c r="N36" i="1"/>
  <c r="O36" i="1"/>
  <c r="P36" i="1"/>
  <c r="Q36" i="1"/>
  <c r="R36" i="1"/>
  <c r="S36" i="1"/>
  <c r="T36" i="1"/>
  <c r="U36" i="1"/>
  <c r="A37" i="1"/>
  <c r="B37" i="1"/>
  <c r="C37" i="1"/>
  <c r="D37" i="1"/>
  <c r="E37" i="1"/>
  <c r="F37" i="1"/>
  <c r="G37" i="1"/>
  <c r="H37" i="1"/>
  <c r="I37" i="1"/>
  <c r="J37" i="1"/>
  <c r="M37" i="1"/>
  <c r="N37" i="1"/>
  <c r="O37" i="1"/>
  <c r="P37" i="1"/>
  <c r="Q37" i="1"/>
  <c r="R37" i="1"/>
  <c r="S37" i="1"/>
  <c r="T37" i="1"/>
  <c r="U37" i="1"/>
  <c r="A1806" i="1"/>
  <c r="B1806" i="1"/>
  <c r="C1806" i="1"/>
  <c r="D1806" i="1"/>
  <c r="E1806" i="1"/>
  <c r="F1806" i="1"/>
  <c r="G1806" i="1"/>
  <c r="H1806" i="1"/>
  <c r="I1806" i="1"/>
  <c r="J1806" i="1"/>
  <c r="M1806" i="1"/>
  <c r="N1806" i="1"/>
  <c r="O1806" i="1"/>
  <c r="P1806" i="1"/>
  <c r="Q1806" i="1"/>
  <c r="R1806" i="1"/>
  <c r="S1806" i="1"/>
  <c r="T1806" i="1"/>
  <c r="U1806" i="1"/>
  <c r="A1807" i="1"/>
  <c r="B1807" i="1"/>
  <c r="C1807" i="1"/>
  <c r="D1807" i="1"/>
  <c r="E1807" i="1"/>
  <c r="F1807" i="1"/>
  <c r="G1807" i="1"/>
  <c r="H1807" i="1"/>
  <c r="I1807" i="1"/>
  <c r="J1807" i="1"/>
  <c r="M1807" i="1"/>
  <c r="N1807" i="1"/>
  <c r="O1807" i="1"/>
  <c r="P1807" i="1"/>
  <c r="Q1807" i="1"/>
  <c r="R1807" i="1"/>
  <c r="S1807" i="1"/>
  <c r="T1807" i="1"/>
  <c r="U1807" i="1"/>
  <c r="A1808" i="1"/>
  <c r="B1808" i="1"/>
  <c r="C1808" i="1"/>
  <c r="D1808" i="1"/>
  <c r="E1808" i="1"/>
  <c r="F1808" i="1"/>
  <c r="G1808" i="1"/>
  <c r="H1808" i="1"/>
  <c r="I1808" i="1"/>
  <c r="J1808" i="1"/>
  <c r="M1808" i="1"/>
  <c r="N1808" i="1"/>
  <c r="O1808" i="1"/>
  <c r="P1808" i="1"/>
  <c r="Q1808" i="1"/>
  <c r="R1808" i="1"/>
  <c r="S1808" i="1"/>
  <c r="T1808" i="1"/>
  <c r="U1808" i="1"/>
  <c r="A1740" i="1"/>
  <c r="B1740" i="1"/>
  <c r="C1740" i="1"/>
  <c r="D1740" i="1"/>
  <c r="E1740" i="1"/>
  <c r="F1740" i="1"/>
  <c r="G1740" i="1"/>
  <c r="H1740" i="1"/>
  <c r="I1740" i="1"/>
  <c r="J1740" i="1"/>
  <c r="M1740" i="1"/>
  <c r="N1740" i="1"/>
  <c r="O1740" i="1"/>
  <c r="P1740" i="1"/>
  <c r="Q1740" i="1"/>
  <c r="R1740" i="1"/>
  <c r="S1740" i="1"/>
  <c r="T1740" i="1"/>
  <c r="U1740" i="1"/>
  <c r="A1741" i="1"/>
  <c r="B1741" i="1"/>
  <c r="C1741" i="1"/>
  <c r="D1741" i="1"/>
  <c r="E1741" i="1"/>
  <c r="F1741" i="1"/>
  <c r="G1741" i="1"/>
  <c r="H1741" i="1"/>
  <c r="I1741" i="1"/>
  <c r="J1741" i="1"/>
  <c r="M1741" i="1"/>
  <c r="N1741" i="1"/>
  <c r="O1741" i="1"/>
  <c r="P1741" i="1"/>
  <c r="Q1741" i="1"/>
  <c r="R1741" i="1"/>
  <c r="S1741" i="1"/>
  <c r="T1741" i="1"/>
  <c r="U1741" i="1"/>
  <c r="A1742" i="1"/>
  <c r="B1742" i="1"/>
  <c r="C1742" i="1"/>
  <c r="D1742" i="1"/>
  <c r="E1742" i="1"/>
  <c r="F1742" i="1"/>
  <c r="G1742" i="1"/>
  <c r="H1742" i="1"/>
  <c r="I1742" i="1"/>
  <c r="J1742" i="1"/>
  <c r="M1742" i="1"/>
  <c r="N1742" i="1"/>
  <c r="O1742" i="1"/>
  <c r="P1742" i="1"/>
  <c r="Q1742" i="1"/>
  <c r="R1742" i="1"/>
  <c r="S1742" i="1"/>
  <c r="T1742" i="1"/>
  <c r="U1742" i="1"/>
  <c r="A1747" i="1"/>
  <c r="B1747" i="1"/>
  <c r="C1747" i="1"/>
  <c r="D1747" i="1"/>
  <c r="E1747" i="1"/>
  <c r="F1747" i="1"/>
  <c r="G1747" i="1"/>
  <c r="H1747" i="1"/>
  <c r="I1747" i="1"/>
  <c r="J1747" i="1"/>
  <c r="M1747" i="1"/>
  <c r="N1747" i="1"/>
  <c r="O1747" i="1"/>
  <c r="P1747" i="1"/>
  <c r="Q1747" i="1"/>
  <c r="R1747" i="1"/>
  <c r="S1747" i="1"/>
  <c r="T1747" i="1"/>
  <c r="U1747" i="1"/>
  <c r="A1743" i="1"/>
  <c r="B1743" i="1"/>
  <c r="C1743" i="1"/>
  <c r="D1743" i="1"/>
  <c r="E1743" i="1"/>
  <c r="F1743" i="1"/>
  <c r="G1743" i="1"/>
  <c r="H1743" i="1"/>
  <c r="I1743" i="1"/>
  <c r="J1743" i="1"/>
  <c r="M1743" i="1"/>
  <c r="N1743" i="1"/>
  <c r="O1743" i="1"/>
  <c r="P1743" i="1"/>
  <c r="Q1743" i="1"/>
  <c r="R1743" i="1"/>
  <c r="S1743" i="1"/>
  <c r="T1743" i="1"/>
  <c r="U1743" i="1"/>
  <c r="A1744" i="1"/>
  <c r="B1744" i="1"/>
  <c r="C1744" i="1"/>
  <c r="D1744" i="1"/>
  <c r="E1744" i="1"/>
  <c r="F1744" i="1"/>
  <c r="G1744" i="1"/>
  <c r="H1744" i="1"/>
  <c r="I1744" i="1"/>
  <c r="J1744" i="1"/>
  <c r="M1744" i="1"/>
  <c r="N1744" i="1"/>
  <c r="O1744" i="1"/>
  <c r="P1744" i="1"/>
  <c r="Q1744" i="1"/>
  <c r="R1744" i="1"/>
  <c r="S1744" i="1"/>
  <c r="T1744" i="1"/>
  <c r="U1744" i="1"/>
  <c r="A1745" i="1"/>
  <c r="B1745" i="1"/>
  <c r="C1745" i="1"/>
  <c r="D1745" i="1"/>
  <c r="E1745" i="1"/>
  <c r="F1745" i="1"/>
  <c r="G1745" i="1"/>
  <c r="H1745" i="1"/>
  <c r="I1745" i="1"/>
  <c r="J1745" i="1"/>
  <c r="M1745" i="1"/>
  <c r="N1745" i="1"/>
  <c r="O1745" i="1"/>
  <c r="P1745" i="1"/>
  <c r="Q1745" i="1"/>
  <c r="R1745" i="1"/>
  <c r="S1745" i="1"/>
  <c r="T1745" i="1"/>
  <c r="U1745" i="1"/>
  <c r="A1674" i="1"/>
  <c r="B1674" i="1"/>
  <c r="C1674" i="1"/>
  <c r="D1674" i="1"/>
  <c r="E1674" i="1"/>
  <c r="F1674" i="1"/>
  <c r="G1674" i="1"/>
  <c r="H1674" i="1"/>
  <c r="I1674" i="1"/>
  <c r="J1674" i="1"/>
  <c r="M1674" i="1"/>
  <c r="N1674" i="1"/>
  <c r="O1674" i="1"/>
  <c r="P1674" i="1"/>
  <c r="Q1674" i="1"/>
  <c r="R1674" i="1"/>
  <c r="S1674" i="1"/>
  <c r="T1674" i="1"/>
  <c r="U1674" i="1"/>
  <c r="A1409" i="1"/>
  <c r="B1409" i="1"/>
  <c r="C1409" i="1"/>
  <c r="D1409" i="1"/>
  <c r="E1409" i="1"/>
  <c r="F1409" i="1"/>
  <c r="G1409" i="1"/>
  <c r="H1409" i="1"/>
  <c r="I1409" i="1"/>
  <c r="J1409" i="1"/>
  <c r="M1409" i="1"/>
  <c r="N1409" i="1"/>
  <c r="O1409" i="1"/>
  <c r="P1409" i="1"/>
  <c r="Q1409" i="1"/>
  <c r="R1409" i="1"/>
  <c r="S1409" i="1"/>
  <c r="T1409" i="1"/>
  <c r="U1409" i="1"/>
  <c r="A1350" i="1"/>
  <c r="B1350" i="1"/>
  <c r="C1350" i="1"/>
  <c r="D1350" i="1"/>
  <c r="E1350" i="1"/>
  <c r="F1350" i="1"/>
  <c r="G1350" i="1"/>
  <c r="H1350" i="1"/>
  <c r="I1350" i="1"/>
  <c r="J1350" i="1"/>
  <c r="M1350" i="1"/>
  <c r="N1350" i="1"/>
  <c r="O1350" i="1"/>
  <c r="P1350" i="1"/>
  <c r="Q1350" i="1"/>
  <c r="R1350" i="1"/>
  <c r="S1350" i="1"/>
  <c r="U1350" i="1"/>
  <c r="A1033" i="1"/>
  <c r="B1033" i="1"/>
  <c r="C1033" i="1"/>
  <c r="D1033" i="1"/>
  <c r="E1033" i="1"/>
  <c r="F1033" i="1"/>
  <c r="G1033" i="1"/>
  <c r="H1033" i="1"/>
  <c r="I1033" i="1"/>
  <c r="J1033" i="1"/>
  <c r="M1033" i="1"/>
  <c r="N1033" i="1"/>
  <c r="O1033" i="1"/>
  <c r="P1033" i="1"/>
  <c r="Q1033" i="1"/>
  <c r="R1033" i="1"/>
  <c r="S1033" i="1"/>
  <c r="T1033" i="1"/>
  <c r="U1033" i="1"/>
  <c r="A1034" i="1"/>
  <c r="B1034" i="1"/>
  <c r="C1034" i="1"/>
  <c r="D1034" i="1"/>
  <c r="E1034" i="1"/>
  <c r="F1034" i="1"/>
  <c r="G1034" i="1"/>
  <c r="H1034" i="1"/>
  <c r="I1034" i="1"/>
  <c r="J1034" i="1"/>
  <c r="M1034" i="1"/>
  <c r="N1034" i="1"/>
  <c r="O1034" i="1"/>
  <c r="P1034" i="1"/>
  <c r="Q1034" i="1"/>
  <c r="R1034" i="1"/>
  <c r="S1034" i="1"/>
  <c r="T1034" i="1"/>
  <c r="U1034" i="1"/>
  <c r="A1035" i="1"/>
  <c r="B1035" i="1"/>
  <c r="C1035" i="1"/>
  <c r="D1035" i="1"/>
  <c r="E1035" i="1"/>
  <c r="F1035" i="1"/>
  <c r="G1035" i="1"/>
  <c r="H1035" i="1"/>
  <c r="I1035" i="1"/>
  <c r="J1035" i="1"/>
  <c r="M1035" i="1"/>
  <c r="N1035" i="1"/>
  <c r="O1035" i="1"/>
  <c r="P1035" i="1"/>
  <c r="Q1035" i="1"/>
  <c r="R1035" i="1"/>
  <c r="S1035" i="1"/>
  <c r="T1035" i="1"/>
  <c r="U1035" i="1"/>
  <c r="A1036" i="1"/>
  <c r="B1036" i="1"/>
  <c r="C1036" i="1"/>
  <c r="D1036" i="1"/>
  <c r="E1036" i="1"/>
  <c r="F1036" i="1"/>
  <c r="G1036" i="1"/>
  <c r="H1036" i="1"/>
  <c r="I1036" i="1"/>
  <c r="J1036" i="1"/>
  <c r="M1036" i="1"/>
  <c r="N1036" i="1"/>
  <c r="O1036" i="1"/>
  <c r="P1036" i="1"/>
  <c r="Q1036" i="1"/>
  <c r="R1036" i="1"/>
  <c r="S1036" i="1"/>
  <c r="T1036" i="1"/>
  <c r="U1036" i="1"/>
  <c r="A1037" i="1"/>
  <c r="B1037" i="1"/>
  <c r="C1037" i="1"/>
  <c r="D1037" i="1"/>
  <c r="E1037" i="1"/>
  <c r="F1037" i="1"/>
  <c r="G1037" i="1"/>
  <c r="H1037" i="1"/>
  <c r="I1037" i="1"/>
  <c r="J1037" i="1"/>
  <c r="M1037" i="1"/>
  <c r="N1037" i="1"/>
  <c r="O1037" i="1"/>
  <c r="P1037" i="1"/>
  <c r="Q1037" i="1"/>
  <c r="R1037" i="1"/>
  <c r="S1037" i="1"/>
  <c r="T1037" i="1"/>
  <c r="U1037" i="1"/>
  <c r="A1038" i="1"/>
  <c r="B1038" i="1"/>
  <c r="C1038" i="1"/>
  <c r="D1038" i="1"/>
  <c r="E1038" i="1"/>
  <c r="F1038" i="1"/>
  <c r="G1038" i="1"/>
  <c r="H1038" i="1"/>
  <c r="I1038" i="1"/>
  <c r="J1038" i="1"/>
  <c r="M1038" i="1"/>
  <c r="N1038" i="1"/>
  <c r="O1038" i="1"/>
  <c r="P1038" i="1"/>
  <c r="Q1038" i="1"/>
  <c r="R1038" i="1"/>
  <c r="S1038" i="1"/>
  <c r="T1038" i="1"/>
  <c r="U1038" i="1"/>
  <c r="A957" i="1"/>
  <c r="B957" i="1"/>
  <c r="C957" i="1"/>
  <c r="D957" i="1"/>
  <c r="E957" i="1"/>
  <c r="F957" i="1"/>
  <c r="G957" i="1"/>
  <c r="H957" i="1"/>
  <c r="I957" i="1"/>
  <c r="J957" i="1"/>
  <c r="M957" i="1"/>
  <c r="N957" i="1"/>
  <c r="O957" i="1"/>
  <c r="P957" i="1"/>
  <c r="Q957" i="1"/>
  <c r="R957" i="1"/>
  <c r="S957" i="1"/>
  <c r="T957" i="1"/>
  <c r="U957" i="1"/>
  <c r="A958" i="1"/>
  <c r="B958" i="1"/>
  <c r="C958" i="1"/>
  <c r="D958" i="1"/>
  <c r="E958" i="1"/>
  <c r="F958" i="1"/>
  <c r="G958" i="1"/>
  <c r="H958" i="1"/>
  <c r="I958" i="1"/>
  <c r="J958" i="1"/>
  <c r="M958" i="1"/>
  <c r="N958" i="1"/>
  <c r="O958" i="1"/>
  <c r="P958" i="1"/>
  <c r="Q958" i="1"/>
  <c r="R958" i="1"/>
  <c r="S958" i="1"/>
  <c r="T958" i="1"/>
  <c r="U958" i="1"/>
  <c r="A959" i="1"/>
  <c r="B959" i="1"/>
  <c r="C959" i="1"/>
  <c r="D959" i="1"/>
  <c r="E959" i="1"/>
  <c r="F959" i="1"/>
  <c r="G959" i="1"/>
  <c r="H959" i="1"/>
  <c r="I959" i="1"/>
  <c r="J959" i="1"/>
  <c r="M959" i="1"/>
  <c r="N959" i="1"/>
  <c r="O959" i="1"/>
  <c r="P959" i="1"/>
  <c r="Q959" i="1"/>
  <c r="R959" i="1"/>
  <c r="S959" i="1"/>
  <c r="T959" i="1"/>
  <c r="U959" i="1"/>
  <c r="A960" i="1"/>
  <c r="B960" i="1"/>
  <c r="C960" i="1"/>
  <c r="D960" i="1"/>
  <c r="E960" i="1"/>
  <c r="F960" i="1"/>
  <c r="G960" i="1"/>
  <c r="H960" i="1"/>
  <c r="I960" i="1"/>
  <c r="J960" i="1"/>
  <c r="M960" i="1"/>
  <c r="N960" i="1"/>
  <c r="O960" i="1"/>
  <c r="P960" i="1"/>
  <c r="Q960" i="1"/>
  <c r="R960" i="1"/>
  <c r="S960" i="1"/>
  <c r="T960" i="1"/>
  <c r="U960" i="1"/>
  <c r="A956" i="1"/>
  <c r="B956" i="1"/>
  <c r="C956" i="1"/>
  <c r="D956" i="1"/>
  <c r="E956" i="1"/>
  <c r="F956" i="1"/>
  <c r="G956" i="1"/>
  <c r="H956" i="1"/>
  <c r="I956" i="1"/>
  <c r="J956" i="1"/>
  <c r="M956" i="1"/>
  <c r="N956" i="1"/>
  <c r="O956" i="1"/>
  <c r="Q956" i="1"/>
  <c r="R956" i="1"/>
  <c r="S956" i="1"/>
  <c r="T956" i="1"/>
  <c r="U956" i="1"/>
  <c r="A961" i="1"/>
  <c r="B961" i="1"/>
  <c r="C961" i="1"/>
  <c r="D961" i="1"/>
  <c r="E961" i="1"/>
  <c r="F961" i="1"/>
  <c r="G961" i="1"/>
  <c r="H961" i="1"/>
  <c r="I961" i="1"/>
  <c r="J961" i="1"/>
  <c r="M961" i="1"/>
  <c r="N961" i="1"/>
  <c r="O961" i="1"/>
  <c r="P961" i="1"/>
  <c r="Q961" i="1"/>
  <c r="R961" i="1"/>
  <c r="S961" i="1"/>
  <c r="T961" i="1"/>
  <c r="U961" i="1"/>
  <c r="A962" i="1"/>
  <c r="B962" i="1"/>
  <c r="C962" i="1"/>
  <c r="D962" i="1"/>
  <c r="E962" i="1"/>
  <c r="F962" i="1"/>
  <c r="G962" i="1"/>
  <c r="H962" i="1"/>
  <c r="I962" i="1"/>
  <c r="J962" i="1"/>
  <c r="M962" i="1"/>
  <c r="N962" i="1"/>
  <c r="O962" i="1"/>
  <c r="P962" i="1"/>
  <c r="Q962" i="1"/>
  <c r="R962" i="1"/>
  <c r="S962" i="1"/>
  <c r="T962" i="1"/>
  <c r="U962" i="1"/>
  <c r="A963" i="1"/>
  <c r="B963" i="1"/>
  <c r="C963" i="1"/>
  <c r="D963" i="1"/>
  <c r="E963" i="1"/>
  <c r="F963" i="1"/>
  <c r="G963" i="1"/>
  <c r="H963" i="1"/>
  <c r="I963" i="1"/>
  <c r="J963" i="1"/>
  <c r="M963" i="1"/>
  <c r="N963" i="1"/>
  <c r="O963" i="1"/>
  <c r="P963" i="1"/>
  <c r="Q963" i="1"/>
  <c r="R963" i="1"/>
  <c r="S963" i="1"/>
  <c r="T963" i="1"/>
  <c r="U963" i="1"/>
  <c r="A964" i="1"/>
  <c r="B964" i="1"/>
  <c r="C964" i="1"/>
  <c r="D964" i="1"/>
  <c r="E964" i="1"/>
  <c r="F964" i="1"/>
  <c r="G964" i="1"/>
  <c r="H964" i="1"/>
  <c r="I964" i="1"/>
  <c r="J964" i="1"/>
  <c r="M964" i="1"/>
  <c r="N964" i="1"/>
  <c r="O964" i="1"/>
  <c r="P964" i="1"/>
  <c r="Q964" i="1"/>
  <c r="R964" i="1"/>
  <c r="S964" i="1"/>
  <c r="T964" i="1"/>
  <c r="U964" i="1"/>
  <c r="A895" i="1"/>
  <c r="B895" i="1"/>
  <c r="C895" i="1"/>
  <c r="D895" i="1"/>
  <c r="E895" i="1"/>
  <c r="F895" i="1"/>
  <c r="G895" i="1"/>
  <c r="H895" i="1"/>
  <c r="I895" i="1"/>
  <c r="J895" i="1"/>
  <c r="M895" i="1"/>
  <c r="N895" i="1"/>
  <c r="O895" i="1"/>
  <c r="P895" i="1"/>
  <c r="Q895" i="1"/>
  <c r="R895" i="1"/>
  <c r="S895" i="1"/>
  <c r="T895" i="1"/>
  <c r="U895" i="1"/>
  <c r="A896" i="1"/>
  <c r="B896" i="1"/>
  <c r="C896" i="1"/>
  <c r="D896" i="1"/>
  <c r="E896" i="1"/>
  <c r="F896" i="1"/>
  <c r="G896" i="1"/>
  <c r="H896" i="1"/>
  <c r="I896" i="1"/>
  <c r="J896" i="1"/>
  <c r="M896" i="1"/>
  <c r="N896" i="1"/>
  <c r="O896" i="1"/>
  <c r="P896" i="1"/>
  <c r="Q896" i="1"/>
  <c r="R896" i="1"/>
  <c r="S896" i="1"/>
  <c r="T896" i="1"/>
  <c r="U896" i="1"/>
  <c r="A596" i="1"/>
  <c r="B596" i="1"/>
  <c r="C596" i="1"/>
  <c r="D596" i="1"/>
  <c r="E596" i="1"/>
  <c r="F596" i="1"/>
  <c r="G596" i="1"/>
  <c r="H596" i="1"/>
  <c r="I596" i="1"/>
  <c r="J596" i="1"/>
  <c r="M596" i="1"/>
  <c r="N596" i="1"/>
  <c r="O596" i="1"/>
  <c r="P596" i="1"/>
  <c r="Q596" i="1"/>
  <c r="R596" i="1"/>
  <c r="S596" i="1"/>
  <c r="T596" i="1"/>
  <c r="U596" i="1"/>
  <c r="A597" i="1"/>
  <c r="B597" i="1"/>
  <c r="C597" i="1"/>
  <c r="D597" i="1"/>
  <c r="E597" i="1"/>
  <c r="F597" i="1"/>
  <c r="G597" i="1"/>
  <c r="H597" i="1"/>
  <c r="I597" i="1"/>
  <c r="J597" i="1"/>
  <c r="M597" i="1"/>
  <c r="N597" i="1"/>
  <c r="O597" i="1"/>
  <c r="P597" i="1"/>
  <c r="Q597" i="1"/>
  <c r="R597" i="1"/>
  <c r="S597" i="1"/>
  <c r="T597" i="1"/>
  <c r="U597" i="1"/>
  <c r="A598" i="1"/>
  <c r="B598" i="1"/>
  <c r="C598" i="1"/>
  <c r="D598" i="1"/>
  <c r="E598" i="1"/>
  <c r="F598" i="1"/>
  <c r="G598" i="1"/>
  <c r="H598" i="1"/>
  <c r="I598" i="1"/>
  <c r="J598" i="1"/>
  <c r="M598" i="1"/>
  <c r="N598" i="1"/>
  <c r="O598" i="1"/>
  <c r="P598" i="1"/>
  <c r="Q598" i="1"/>
  <c r="R598" i="1"/>
  <c r="S598" i="1"/>
  <c r="T598" i="1"/>
  <c r="U598" i="1"/>
  <c r="A599" i="1"/>
  <c r="B599" i="1"/>
  <c r="C599" i="1"/>
  <c r="D599" i="1"/>
  <c r="E599" i="1"/>
  <c r="F599" i="1"/>
  <c r="G599" i="1"/>
  <c r="H599" i="1"/>
  <c r="I599" i="1"/>
  <c r="J599" i="1"/>
  <c r="M599" i="1"/>
  <c r="N599" i="1"/>
  <c r="O599" i="1"/>
  <c r="P599" i="1"/>
  <c r="Q599" i="1"/>
  <c r="R599" i="1"/>
  <c r="S599" i="1"/>
  <c r="T599" i="1"/>
  <c r="U599" i="1"/>
  <c r="A600" i="1"/>
  <c r="B600" i="1"/>
  <c r="C600" i="1"/>
  <c r="D600" i="1"/>
  <c r="E600" i="1"/>
  <c r="F600" i="1"/>
  <c r="G600" i="1"/>
  <c r="H600" i="1"/>
  <c r="I600" i="1"/>
  <c r="J600" i="1"/>
  <c r="M600" i="1"/>
  <c r="N600" i="1"/>
  <c r="O600" i="1"/>
  <c r="P600" i="1"/>
  <c r="Q600" i="1"/>
  <c r="R600" i="1"/>
  <c r="S600" i="1"/>
  <c r="T600" i="1"/>
  <c r="U600" i="1"/>
  <c r="A595" i="1"/>
  <c r="B595" i="1"/>
  <c r="C595" i="1"/>
  <c r="D595" i="1"/>
  <c r="E595" i="1"/>
  <c r="F595" i="1"/>
  <c r="G595" i="1"/>
  <c r="H595" i="1"/>
  <c r="I595" i="1"/>
  <c r="J595" i="1"/>
  <c r="M595" i="1"/>
  <c r="N595" i="1"/>
  <c r="O595" i="1"/>
  <c r="Q595" i="1"/>
  <c r="R595" i="1"/>
  <c r="S595" i="1"/>
  <c r="T595" i="1"/>
  <c r="U595" i="1"/>
  <c r="A601" i="1"/>
  <c r="B601" i="1"/>
  <c r="C601" i="1"/>
  <c r="D601" i="1"/>
  <c r="E601" i="1"/>
  <c r="F601" i="1"/>
  <c r="G601" i="1"/>
  <c r="H601" i="1"/>
  <c r="I601" i="1"/>
  <c r="J601" i="1"/>
  <c r="M601" i="1"/>
  <c r="N601" i="1"/>
  <c r="O601" i="1"/>
  <c r="P601" i="1"/>
  <c r="Q601" i="1"/>
  <c r="R601" i="1"/>
  <c r="S601" i="1"/>
  <c r="T601" i="1"/>
  <c r="U601" i="1"/>
  <c r="A533" i="1"/>
  <c r="B533" i="1"/>
  <c r="C533" i="1"/>
  <c r="D533" i="1"/>
  <c r="E533" i="1"/>
  <c r="F533" i="1"/>
  <c r="G533" i="1"/>
  <c r="H533" i="1"/>
  <c r="I533" i="1"/>
  <c r="J533" i="1"/>
  <c r="M533" i="1"/>
  <c r="N533" i="1"/>
  <c r="O533" i="1"/>
  <c r="P533" i="1"/>
  <c r="Q533" i="1"/>
  <c r="R533" i="1"/>
  <c r="S533" i="1"/>
  <c r="T533" i="1"/>
  <c r="U533" i="1"/>
  <c r="A534" i="1"/>
  <c r="B534" i="1"/>
  <c r="C534" i="1"/>
  <c r="D534" i="1"/>
  <c r="E534" i="1"/>
  <c r="F534" i="1"/>
  <c r="G534" i="1"/>
  <c r="H534" i="1"/>
  <c r="I534" i="1"/>
  <c r="J534" i="1"/>
  <c r="M534" i="1"/>
  <c r="N534" i="1"/>
  <c r="O534" i="1"/>
  <c r="P534" i="1"/>
  <c r="Q534" i="1"/>
  <c r="R534" i="1"/>
  <c r="S534" i="1"/>
  <c r="T534" i="1"/>
  <c r="U534" i="1"/>
  <c r="A535" i="1"/>
  <c r="B535" i="1"/>
  <c r="C535" i="1"/>
  <c r="D535" i="1"/>
  <c r="E535" i="1"/>
  <c r="F535" i="1"/>
  <c r="G535" i="1"/>
  <c r="H535" i="1"/>
  <c r="I535" i="1"/>
  <c r="J535" i="1"/>
  <c r="M535" i="1"/>
  <c r="N535" i="1"/>
  <c r="O535" i="1"/>
  <c r="P535" i="1"/>
  <c r="Q535" i="1"/>
  <c r="R535" i="1"/>
  <c r="S535" i="1"/>
  <c r="T535" i="1"/>
  <c r="U535" i="1"/>
  <c r="A536" i="1"/>
  <c r="B536" i="1"/>
  <c r="C536" i="1"/>
  <c r="D536" i="1"/>
  <c r="E536" i="1"/>
  <c r="F536" i="1"/>
  <c r="G536" i="1"/>
  <c r="H536" i="1"/>
  <c r="I536" i="1"/>
  <c r="J536" i="1"/>
  <c r="M536" i="1"/>
  <c r="N536" i="1"/>
  <c r="O536" i="1"/>
  <c r="P536" i="1"/>
  <c r="Q536" i="1"/>
  <c r="R536" i="1"/>
  <c r="S536" i="1"/>
  <c r="T536" i="1"/>
  <c r="U536" i="1"/>
  <c r="A476" i="1"/>
  <c r="B476" i="1"/>
  <c r="C476" i="1"/>
  <c r="D476" i="1"/>
  <c r="E476" i="1"/>
  <c r="F476" i="1"/>
  <c r="G476" i="1"/>
  <c r="H476" i="1"/>
  <c r="I476" i="1"/>
  <c r="J476" i="1"/>
  <c r="M476" i="1"/>
  <c r="N476" i="1"/>
  <c r="O476" i="1"/>
  <c r="P476" i="1"/>
  <c r="Q476" i="1"/>
  <c r="R476" i="1"/>
  <c r="S476" i="1"/>
  <c r="T476" i="1"/>
  <c r="U476" i="1"/>
  <c r="A477" i="1"/>
  <c r="B477" i="1"/>
  <c r="C477" i="1"/>
  <c r="D477" i="1"/>
  <c r="E477" i="1"/>
  <c r="F477" i="1"/>
  <c r="G477" i="1"/>
  <c r="H477" i="1"/>
  <c r="I477" i="1"/>
  <c r="J477" i="1"/>
  <c r="M477" i="1"/>
  <c r="N477" i="1"/>
  <c r="O477" i="1"/>
  <c r="P477" i="1"/>
  <c r="Q477" i="1"/>
  <c r="R477" i="1"/>
  <c r="S477" i="1"/>
  <c r="T477" i="1"/>
  <c r="U477" i="1"/>
  <c r="A478" i="1"/>
  <c r="B478" i="1"/>
  <c r="C478" i="1"/>
  <c r="D478" i="1"/>
  <c r="E478" i="1"/>
  <c r="F478" i="1"/>
  <c r="G478" i="1"/>
  <c r="H478" i="1"/>
  <c r="I478" i="1"/>
  <c r="J478" i="1"/>
  <c r="M478" i="1"/>
  <c r="N478" i="1"/>
  <c r="O478" i="1"/>
  <c r="P478" i="1"/>
  <c r="Q478" i="1"/>
  <c r="R478" i="1"/>
  <c r="S478" i="1"/>
  <c r="T478" i="1"/>
  <c r="U478" i="1"/>
  <c r="A399" i="1"/>
  <c r="B399" i="1"/>
  <c r="C399" i="1"/>
  <c r="D399" i="1"/>
  <c r="E399" i="1"/>
  <c r="F399" i="1"/>
  <c r="G399" i="1"/>
  <c r="H399" i="1"/>
  <c r="I399" i="1"/>
  <c r="J399" i="1"/>
  <c r="M399" i="1"/>
  <c r="N399" i="1"/>
  <c r="O399" i="1"/>
  <c r="P399" i="1"/>
  <c r="Q399" i="1"/>
  <c r="R399" i="1"/>
  <c r="S399" i="1"/>
  <c r="T399" i="1"/>
  <c r="U399" i="1"/>
  <c r="A400" i="1"/>
  <c r="B400" i="1"/>
  <c r="C400" i="1"/>
  <c r="D400" i="1"/>
  <c r="E400" i="1"/>
  <c r="F400" i="1"/>
  <c r="G400" i="1"/>
  <c r="H400" i="1"/>
  <c r="I400" i="1"/>
  <c r="J400" i="1"/>
  <c r="M400" i="1"/>
  <c r="N400" i="1"/>
  <c r="O400" i="1"/>
  <c r="P400" i="1"/>
  <c r="Q400" i="1"/>
  <c r="R400" i="1"/>
  <c r="S400" i="1"/>
  <c r="T400" i="1"/>
  <c r="U400" i="1"/>
  <c r="A401" i="1"/>
  <c r="B401" i="1"/>
  <c r="C401" i="1"/>
  <c r="D401" i="1"/>
  <c r="E401" i="1"/>
  <c r="F401" i="1"/>
  <c r="G401" i="1"/>
  <c r="H401" i="1"/>
  <c r="I401" i="1"/>
  <c r="J401" i="1"/>
  <c r="M401" i="1"/>
  <c r="N401" i="1"/>
  <c r="O401" i="1"/>
  <c r="P401" i="1"/>
  <c r="Q401" i="1"/>
  <c r="R401" i="1"/>
  <c r="S401" i="1"/>
  <c r="T401" i="1"/>
  <c r="U401" i="1"/>
  <c r="A402" i="1"/>
  <c r="B402" i="1"/>
  <c r="C402" i="1"/>
  <c r="D402" i="1"/>
  <c r="E402" i="1"/>
  <c r="F402" i="1"/>
  <c r="G402" i="1"/>
  <c r="H402" i="1"/>
  <c r="I402" i="1"/>
  <c r="J402" i="1"/>
  <c r="M402" i="1"/>
  <c r="N402" i="1"/>
  <c r="O402" i="1"/>
  <c r="P402" i="1"/>
  <c r="Q402" i="1"/>
  <c r="R402" i="1"/>
  <c r="S402" i="1"/>
  <c r="T402" i="1"/>
  <c r="U402" i="1"/>
  <c r="A403" i="1"/>
  <c r="B403" i="1"/>
  <c r="C403" i="1"/>
  <c r="D403" i="1"/>
  <c r="E403" i="1"/>
  <c r="F403" i="1"/>
  <c r="G403" i="1"/>
  <c r="H403" i="1"/>
  <c r="I403" i="1"/>
  <c r="J403" i="1"/>
  <c r="M403" i="1"/>
  <c r="N403" i="1"/>
  <c r="O403" i="1"/>
  <c r="P403" i="1"/>
  <c r="Q403" i="1"/>
  <c r="R403" i="1"/>
  <c r="S403" i="1"/>
  <c r="T403" i="1"/>
  <c r="U403" i="1"/>
  <c r="A329" i="1"/>
  <c r="B329" i="1"/>
  <c r="C329" i="1"/>
  <c r="D329" i="1"/>
  <c r="E329" i="1"/>
  <c r="F329" i="1"/>
  <c r="G329" i="1"/>
  <c r="H329" i="1"/>
  <c r="I329" i="1"/>
  <c r="J329" i="1"/>
  <c r="M329" i="1"/>
  <c r="N329" i="1"/>
  <c r="O329" i="1"/>
  <c r="P329" i="1"/>
  <c r="Q329" i="1"/>
  <c r="R329" i="1"/>
  <c r="S329" i="1"/>
  <c r="T329" i="1"/>
  <c r="U329" i="1"/>
  <c r="A330" i="1"/>
  <c r="B330" i="1"/>
  <c r="C330" i="1"/>
  <c r="D330" i="1"/>
  <c r="E330" i="1"/>
  <c r="F330" i="1"/>
  <c r="G330" i="1"/>
  <c r="H330" i="1"/>
  <c r="I330" i="1"/>
  <c r="J330" i="1"/>
  <c r="M330" i="1"/>
  <c r="N330" i="1"/>
  <c r="O330" i="1"/>
  <c r="P330" i="1"/>
  <c r="Q330" i="1"/>
  <c r="R330" i="1"/>
  <c r="S330" i="1"/>
  <c r="T330" i="1"/>
  <c r="U330" i="1"/>
  <c r="A331" i="1"/>
  <c r="B331" i="1"/>
  <c r="C331" i="1"/>
  <c r="D331" i="1"/>
  <c r="E331" i="1"/>
  <c r="F331" i="1"/>
  <c r="G331" i="1"/>
  <c r="H331" i="1"/>
  <c r="I331" i="1"/>
  <c r="J331" i="1"/>
  <c r="M331" i="1"/>
  <c r="N331" i="1"/>
  <c r="O331" i="1"/>
  <c r="P331" i="1"/>
  <c r="Q331" i="1"/>
  <c r="R331" i="1"/>
  <c r="S331" i="1"/>
  <c r="T331" i="1"/>
  <c r="U331" i="1"/>
  <c r="A332" i="1"/>
  <c r="B332" i="1"/>
  <c r="C332" i="1"/>
  <c r="D332" i="1"/>
  <c r="E332" i="1"/>
  <c r="F332" i="1"/>
  <c r="G332" i="1"/>
  <c r="H332" i="1"/>
  <c r="I332" i="1"/>
  <c r="J332" i="1"/>
  <c r="M332" i="1"/>
  <c r="N332" i="1"/>
  <c r="O332" i="1"/>
  <c r="P332" i="1"/>
  <c r="Q332" i="1"/>
  <c r="R332" i="1"/>
  <c r="S332" i="1"/>
  <c r="T332" i="1"/>
  <c r="U332" i="1"/>
  <c r="A333" i="1"/>
  <c r="B333" i="1"/>
  <c r="C333" i="1"/>
  <c r="D333" i="1"/>
  <c r="E333" i="1"/>
  <c r="F333" i="1"/>
  <c r="G333" i="1"/>
  <c r="H333" i="1"/>
  <c r="I333" i="1"/>
  <c r="J333" i="1"/>
  <c r="M333" i="1"/>
  <c r="N333" i="1"/>
  <c r="O333" i="1"/>
  <c r="P333" i="1"/>
  <c r="Q333" i="1"/>
  <c r="R333" i="1"/>
  <c r="S333" i="1"/>
  <c r="T333" i="1"/>
  <c r="U333" i="1"/>
  <c r="A334" i="1"/>
  <c r="B334" i="1"/>
  <c r="C334" i="1"/>
  <c r="D334" i="1"/>
  <c r="E334" i="1"/>
  <c r="F334" i="1"/>
  <c r="G334" i="1"/>
  <c r="H334" i="1"/>
  <c r="I334" i="1"/>
  <c r="J334" i="1"/>
  <c r="M334" i="1"/>
  <c r="N334" i="1"/>
  <c r="O334" i="1"/>
  <c r="P334" i="1"/>
  <c r="Q334" i="1"/>
  <c r="R334" i="1"/>
  <c r="S334" i="1"/>
  <c r="U334" i="1"/>
  <c r="A134" i="1"/>
  <c r="B134" i="1"/>
  <c r="C134" i="1"/>
  <c r="D134" i="1"/>
  <c r="E134" i="1"/>
  <c r="F134" i="1"/>
  <c r="G134" i="1"/>
  <c r="H134" i="1"/>
  <c r="I134" i="1"/>
  <c r="J134" i="1"/>
  <c r="M134" i="1"/>
  <c r="N134" i="1"/>
  <c r="O134" i="1"/>
  <c r="P134" i="1"/>
  <c r="Q134" i="1"/>
  <c r="R134" i="1"/>
  <c r="S134" i="1"/>
  <c r="T134" i="1"/>
  <c r="U134" i="1"/>
  <c r="A135" i="1"/>
  <c r="B135" i="1"/>
  <c r="C135" i="1"/>
  <c r="D135" i="1"/>
  <c r="E135" i="1"/>
  <c r="F135" i="1"/>
  <c r="G135" i="1"/>
  <c r="H135" i="1"/>
  <c r="I135" i="1"/>
  <c r="J135" i="1"/>
  <c r="M135" i="1"/>
  <c r="N135" i="1"/>
  <c r="O135" i="1"/>
  <c r="P135" i="1"/>
  <c r="Q135" i="1"/>
  <c r="R135" i="1"/>
  <c r="S135" i="1"/>
  <c r="T135" i="1"/>
  <c r="U135" i="1"/>
  <c r="A136" i="1"/>
  <c r="B136" i="1"/>
  <c r="C136" i="1"/>
  <c r="D136" i="1"/>
  <c r="E136" i="1"/>
  <c r="F136" i="1"/>
  <c r="G136" i="1"/>
  <c r="H136" i="1"/>
  <c r="I136" i="1"/>
  <c r="J136" i="1"/>
  <c r="M136" i="1"/>
  <c r="N136" i="1"/>
  <c r="O136" i="1"/>
  <c r="P136" i="1"/>
  <c r="Q136" i="1"/>
  <c r="R136" i="1"/>
  <c r="S136" i="1"/>
  <c r="T136" i="1"/>
  <c r="U136" i="1"/>
  <c r="A28" i="1"/>
  <c r="B28" i="1"/>
  <c r="C28" i="1"/>
  <c r="D28" i="1"/>
  <c r="E28" i="1"/>
  <c r="F28" i="1"/>
  <c r="G28" i="1"/>
  <c r="H28" i="1"/>
  <c r="I28" i="1"/>
  <c r="J28" i="1"/>
  <c r="M28" i="1"/>
  <c r="N28" i="1"/>
  <c r="O28" i="1"/>
  <c r="P28" i="1"/>
  <c r="Q28" i="1"/>
  <c r="R28" i="1"/>
  <c r="S28" i="1"/>
  <c r="T28" i="1"/>
  <c r="U28" i="1"/>
  <c r="A29" i="1"/>
  <c r="B29" i="1"/>
  <c r="C29" i="1"/>
  <c r="D29" i="1"/>
  <c r="E29" i="1"/>
  <c r="F29" i="1"/>
  <c r="G29" i="1"/>
  <c r="H29" i="1"/>
  <c r="I29" i="1"/>
  <c r="J29" i="1"/>
  <c r="M29" i="1"/>
  <c r="N29" i="1"/>
  <c r="O29" i="1"/>
  <c r="P29" i="1"/>
  <c r="Q29" i="1"/>
  <c r="R29" i="1"/>
  <c r="S29" i="1"/>
  <c r="T29" i="1"/>
  <c r="U29" i="1"/>
  <c r="A30" i="1"/>
  <c r="B30" i="1"/>
  <c r="C30" i="1"/>
  <c r="D30" i="1"/>
  <c r="E30" i="1"/>
  <c r="F30" i="1"/>
  <c r="G30" i="1"/>
  <c r="H30" i="1"/>
  <c r="I30" i="1"/>
  <c r="J30" i="1"/>
  <c r="M30" i="1"/>
  <c r="N30" i="1"/>
  <c r="O30" i="1"/>
  <c r="P30" i="1"/>
  <c r="Q30" i="1"/>
  <c r="R30" i="1"/>
  <c r="S30" i="1"/>
  <c r="T30" i="1"/>
  <c r="U30" i="1"/>
  <c r="A31" i="1"/>
  <c r="B31" i="1"/>
  <c r="C31" i="1"/>
  <c r="D31" i="1"/>
  <c r="E31" i="1"/>
  <c r="F31" i="1"/>
  <c r="G31" i="1"/>
  <c r="H31" i="1"/>
  <c r="I31" i="1"/>
  <c r="J31" i="1"/>
  <c r="M31" i="1"/>
  <c r="N31" i="1"/>
  <c r="O31" i="1"/>
  <c r="P31" i="1"/>
  <c r="Q31" i="1"/>
  <c r="R31" i="1"/>
  <c r="S31" i="1"/>
  <c r="T31" i="1"/>
  <c r="U31" i="1"/>
  <c r="A1895" i="1"/>
  <c r="B1895" i="1"/>
  <c r="C1895" i="1"/>
  <c r="D1895" i="1"/>
  <c r="E1895" i="1"/>
  <c r="F1895" i="1"/>
  <c r="G1895" i="1"/>
  <c r="H1895" i="1"/>
  <c r="I1895" i="1"/>
  <c r="J1895" i="1"/>
  <c r="M1895" i="1"/>
  <c r="N1895" i="1"/>
  <c r="O1895" i="1"/>
  <c r="P1895" i="1"/>
  <c r="Q1895" i="1"/>
  <c r="R1895" i="1"/>
  <c r="S1895" i="1"/>
  <c r="T1895" i="1"/>
  <c r="U1895" i="1"/>
  <c r="A1896" i="1"/>
  <c r="B1896" i="1"/>
  <c r="C1896" i="1"/>
  <c r="D1896" i="1"/>
  <c r="E1896" i="1"/>
  <c r="F1896" i="1"/>
  <c r="G1896" i="1"/>
  <c r="H1896" i="1"/>
  <c r="I1896" i="1"/>
  <c r="J1896" i="1"/>
  <c r="M1896" i="1"/>
  <c r="N1896" i="1"/>
  <c r="O1896" i="1"/>
  <c r="P1896" i="1"/>
  <c r="Q1896" i="1"/>
  <c r="R1896" i="1"/>
  <c r="S1896" i="1"/>
  <c r="T1896" i="1"/>
  <c r="U1896" i="1"/>
  <c r="A1897" i="1"/>
  <c r="B1897" i="1"/>
  <c r="C1897" i="1"/>
  <c r="D1897" i="1"/>
  <c r="E1897" i="1"/>
  <c r="F1897" i="1"/>
  <c r="G1897" i="1"/>
  <c r="H1897" i="1"/>
  <c r="I1897" i="1"/>
  <c r="J1897" i="1"/>
  <c r="M1897" i="1"/>
  <c r="N1897" i="1"/>
  <c r="O1897" i="1"/>
  <c r="P1897" i="1"/>
  <c r="Q1897" i="1"/>
  <c r="R1897" i="1"/>
  <c r="S1897" i="1"/>
  <c r="T1897" i="1"/>
  <c r="U1897" i="1"/>
  <c r="A1898" i="1"/>
  <c r="B1898" i="1"/>
  <c r="C1898" i="1"/>
  <c r="D1898" i="1"/>
  <c r="E1898" i="1"/>
  <c r="F1898" i="1"/>
  <c r="G1898" i="1"/>
  <c r="H1898" i="1"/>
  <c r="I1898" i="1"/>
  <c r="J1898" i="1"/>
  <c r="M1898" i="1"/>
  <c r="N1898" i="1"/>
  <c r="O1898" i="1"/>
  <c r="P1898" i="1"/>
  <c r="Q1898" i="1"/>
  <c r="R1898" i="1"/>
  <c r="S1898" i="1"/>
  <c r="T1898" i="1"/>
  <c r="U1898" i="1"/>
  <c r="A1859" i="1"/>
  <c r="B1859" i="1"/>
  <c r="C1859" i="1"/>
  <c r="D1859" i="1"/>
  <c r="E1859" i="1"/>
  <c r="F1859" i="1"/>
  <c r="G1859" i="1"/>
  <c r="H1859" i="1"/>
  <c r="I1859" i="1"/>
  <c r="J1859" i="1"/>
  <c r="M1859" i="1"/>
  <c r="N1859" i="1"/>
  <c r="O1859" i="1"/>
  <c r="P1859" i="1"/>
  <c r="Q1859" i="1"/>
  <c r="R1859" i="1"/>
  <c r="S1859" i="1"/>
  <c r="T1859" i="1"/>
  <c r="U1859" i="1"/>
  <c r="A1860" i="1"/>
  <c r="B1860" i="1"/>
  <c r="C1860" i="1"/>
  <c r="D1860" i="1"/>
  <c r="E1860" i="1"/>
  <c r="F1860" i="1"/>
  <c r="G1860" i="1"/>
  <c r="H1860" i="1"/>
  <c r="I1860" i="1"/>
  <c r="J1860" i="1"/>
  <c r="M1860" i="1"/>
  <c r="N1860" i="1"/>
  <c r="O1860" i="1"/>
  <c r="P1860" i="1"/>
  <c r="Q1860" i="1"/>
  <c r="R1860" i="1"/>
  <c r="S1860" i="1"/>
  <c r="T1860" i="1"/>
  <c r="U1860" i="1"/>
  <c r="A1866" i="1"/>
  <c r="B1866" i="1"/>
  <c r="C1866" i="1"/>
  <c r="D1866" i="1"/>
  <c r="E1866" i="1"/>
  <c r="F1866" i="1"/>
  <c r="G1866" i="1"/>
  <c r="H1866" i="1"/>
  <c r="I1866" i="1"/>
  <c r="J1866" i="1"/>
  <c r="M1866" i="1"/>
  <c r="N1866" i="1"/>
  <c r="O1866" i="1"/>
  <c r="P1866" i="1"/>
  <c r="Q1866" i="1"/>
  <c r="R1866" i="1"/>
  <c r="S1866" i="1"/>
  <c r="T1866" i="1"/>
  <c r="U1866" i="1"/>
  <c r="A1861" i="1"/>
  <c r="B1861" i="1"/>
  <c r="C1861" i="1"/>
  <c r="D1861" i="1"/>
  <c r="E1861" i="1"/>
  <c r="F1861" i="1"/>
  <c r="G1861" i="1"/>
  <c r="H1861" i="1"/>
  <c r="I1861" i="1"/>
  <c r="J1861" i="1"/>
  <c r="M1861" i="1"/>
  <c r="N1861" i="1"/>
  <c r="O1861" i="1"/>
  <c r="P1861" i="1"/>
  <c r="Q1861" i="1"/>
  <c r="R1861" i="1"/>
  <c r="S1861" i="1"/>
  <c r="T1861" i="1"/>
  <c r="U1861" i="1"/>
  <c r="A1867" i="1"/>
  <c r="B1867" i="1"/>
  <c r="C1867" i="1"/>
  <c r="D1867" i="1"/>
  <c r="E1867" i="1"/>
  <c r="F1867" i="1"/>
  <c r="G1867" i="1"/>
  <c r="H1867" i="1"/>
  <c r="I1867" i="1"/>
  <c r="J1867" i="1"/>
  <c r="M1867" i="1"/>
  <c r="N1867" i="1"/>
  <c r="O1867" i="1"/>
  <c r="P1867" i="1"/>
  <c r="Q1867" i="1"/>
  <c r="R1867" i="1"/>
  <c r="S1867" i="1"/>
  <c r="T1867" i="1"/>
  <c r="U1867" i="1"/>
  <c r="A1863" i="1"/>
  <c r="B1863" i="1"/>
  <c r="C1863" i="1"/>
  <c r="D1863" i="1"/>
  <c r="E1863" i="1"/>
  <c r="F1863" i="1"/>
  <c r="G1863" i="1"/>
  <c r="H1863" i="1"/>
  <c r="I1863" i="1"/>
  <c r="J1863" i="1"/>
  <c r="M1863" i="1"/>
  <c r="N1863" i="1"/>
  <c r="O1863" i="1"/>
  <c r="P1863" i="1"/>
  <c r="Q1863" i="1"/>
  <c r="R1863" i="1"/>
  <c r="S1863" i="1"/>
  <c r="T1863" i="1"/>
  <c r="U1863" i="1"/>
  <c r="A1865" i="1"/>
  <c r="B1865" i="1"/>
  <c r="C1865" i="1"/>
  <c r="D1865" i="1"/>
  <c r="E1865" i="1"/>
  <c r="F1865" i="1"/>
  <c r="G1865" i="1"/>
  <c r="H1865" i="1"/>
  <c r="I1865" i="1"/>
  <c r="J1865" i="1"/>
  <c r="M1865" i="1"/>
  <c r="N1865" i="1"/>
  <c r="O1865" i="1"/>
  <c r="P1865" i="1"/>
  <c r="Q1865" i="1"/>
  <c r="R1865" i="1"/>
  <c r="S1865" i="1"/>
  <c r="T1865" i="1"/>
  <c r="U1865" i="1"/>
  <c r="A1864" i="1"/>
  <c r="B1864" i="1"/>
  <c r="C1864" i="1"/>
  <c r="D1864" i="1"/>
  <c r="E1864" i="1"/>
  <c r="F1864" i="1"/>
  <c r="G1864" i="1"/>
  <c r="H1864" i="1"/>
  <c r="I1864" i="1"/>
  <c r="J1864" i="1"/>
  <c r="M1864" i="1"/>
  <c r="N1864" i="1"/>
  <c r="O1864" i="1"/>
  <c r="P1864" i="1"/>
  <c r="Q1864" i="1"/>
  <c r="R1864" i="1"/>
  <c r="S1864" i="1"/>
  <c r="T1864" i="1"/>
  <c r="U1864" i="1"/>
  <c r="A1862" i="1"/>
  <c r="B1862" i="1"/>
  <c r="C1862" i="1"/>
  <c r="D1862" i="1"/>
  <c r="E1862" i="1"/>
  <c r="F1862" i="1"/>
  <c r="G1862" i="1"/>
  <c r="H1862" i="1"/>
  <c r="I1862" i="1"/>
  <c r="J1862" i="1"/>
  <c r="M1862" i="1"/>
  <c r="N1862" i="1"/>
  <c r="O1862" i="1"/>
  <c r="P1862" i="1"/>
  <c r="Q1862" i="1"/>
  <c r="R1862" i="1"/>
  <c r="S1862" i="1"/>
  <c r="T1862" i="1"/>
  <c r="U1862" i="1"/>
  <c r="A1735" i="1"/>
  <c r="B1735" i="1"/>
  <c r="C1735" i="1"/>
  <c r="D1735" i="1"/>
  <c r="E1735" i="1"/>
  <c r="F1735" i="1"/>
  <c r="G1735" i="1"/>
  <c r="H1735" i="1"/>
  <c r="I1735" i="1"/>
  <c r="J1735" i="1"/>
  <c r="M1735" i="1"/>
  <c r="N1735" i="1"/>
  <c r="O1735" i="1"/>
  <c r="P1735" i="1"/>
  <c r="Q1735" i="1"/>
  <c r="R1735" i="1"/>
  <c r="S1735" i="1"/>
  <c r="T1735" i="1"/>
  <c r="U1735" i="1"/>
  <c r="A1667" i="1"/>
  <c r="B1667" i="1"/>
  <c r="C1667" i="1"/>
  <c r="D1667" i="1"/>
  <c r="E1667" i="1"/>
  <c r="F1667" i="1"/>
  <c r="G1667" i="1"/>
  <c r="H1667" i="1"/>
  <c r="I1667" i="1"/>
  <c r="J1667" i="1"/>
  <c r="M1667" i="1"/>
  <c r="N1667" i="1"/>
  <c r="O1667" i="1"/>
  <c r="P1667" i="1"/>
  <c r="Q1667" i="1"/>
  <c r="R1667" i="1"/>
  <c r="S1667" i="1"/>
  <c r="T1667" i="1"/>
  <c r="U1667" i="1"/>
  <c r="A1668" i="1"/>
  <c r="B1668" i="1"/>
  <c r="C1668" i="1"/>
  <c r="D1668" i="1"/>
  <c r="E1668" i="1"/>
  <c r="F1668" i="1"/>
  <c r="G1668" i="1"/>
  <c r="H1668" i="1"/>
  <c r="I1668" i="1"/>
  <c r="J1668" i="1"/>
  <c r="M1668" i="1"/>
  <c r="N1668" i="1"/>
  <c r="O1668" i="1"/>
  <c r="P1668" i="1"/>
  <c r="Q1668" i="1"/>
  <c r="R1668" i="1"/>
  <c r="S1668" i="1"/>
  <c r="T1668" i="1"/>
  <c r="U1668" i="1"/>
  <c r="A1669" i="1"/>
  <c r="B1669" i="1"/>
  <c r="C1669" i="1"/>
  <c r="D1669" i="1"/>
  <c r="E1669" i="1"/>
  <c r="F1669" i="1"/>
  <c r="G1669" i="1"/>
  <c r="H1669" i="1"/>
  <c r="I1669" i="1"/>
  <c r="J1669" i="1"/>
  <c r="M1669" i="1"/>
  <c r="N1669" i="1"/>
  <c r="O1669" i="1"/>
  <c r="P1669" i="1"/>
  <c r="Q1669" i="1"/>
  <c r="R1669" i="1"/>
  <c r="S1669" i="1"/>
  <c r="T1669" i="1"/>
  <c r="U1669" i="1"/>
  <c r="A1670" i="1"/>
  <c r="B1670" i="1"/>
  <c r="C1670" i="1"/>
  <c r="D1670" i="1"/>
  <c r="E1670" i="1"/>
  <c r="F1670" i="1"/>
  <c r="G1670" i="1"/>
  <c r="H1670" i="1"/>
  <c r="I1670" i="1"/>
  <c r="J1670" i="1"/>
  <c r="M1670" i="1"/>
  <c r="N1670" i="1"/>
  <c r="O1670" i="1"/>
  <c r="P1670" i="1"/>
  <c r="Q1670" i="1"/>
  <c r="R1670" i="1"/>
  <c r="S1670" i="1"/>
  <c r="T1670" i="1"/>
  <c r="U1670" i="1"/>
  <c r="A1671" i="1"/>
  <c r="B1671" i="1"/>
  <c r="C1671" i="1"/>
  <c r="D1671" i="1"/>
  <c r="E1671" i="1"/>
  <c r="F1671" i="1"/>
  <c r="G1671" i="1"/>
  <c r="H1671" i="1"/>
  <c r="I1671" i="1"/>
  <c r="J1671" i="1"/>
  <c r="M1671" i="1"/>
  <c r="N1671" i="1"/>
  <c r="O1671" i="1"/>
  <c r="P1671" i="1"/>
  <c r="Q1671" i="1"/>
  <c r="R1671" i="1"/>
  <c r="S1671" i="1"/>
  <c r="T1671" i="1"/>
  <c r="U1671" i="1"/>
  <c r="A1672" i="1"/>
  <c r="B1672" i="1"/>
  <c r="C1672" i="1"/>
  <c r="D1672" i="1"/>
  <c r="E1672" i="1"/>
  <c r="F1672" i="1"/>
  <c r="G1672" i="1"/>
  <c r="H1672" i="1"/>
  <c r="I1672" i="1"/>
  <c r="J1672" i="1"/>
  <c r="M1672" i="1"/>
  <c r="N1672" i="1"/>
  <c r="O1672" i="1"/>
  <c r="P1672" i="1"/>
  <c r="Q1672" i="1"/>
  <c r="R1672" i="1"/>
  <c r="S1672" i="1"/>
  <c r="T1672" i="1"/>
  <c r="U1672" i="1"/>
  <c r="A1673" i="1"/>
  <c r="B1673" i="1"/>
  <c r="C1673" i="1"/>
  <c r="D1673" i="1"/>
  <c r="E1673" i="1"/>
  <c r="F1673" i="1"/>
  <c r="G1673" i="1"/>
  <c r="H1673" i="1"/>
  <c r="I1673" i="1"/>
  <c r="J1673" i="1"/>
  <c r="M1673" i="1"/>
  <c r="N1673" i="1"/>
  <c r="O1673" i="1"/>
  <c r="P1673" i="1"/>
  <c r="Q1673" i="1"/>
  <c r="R1673" i="1"/>
  <c r="S1673" i="1"/>
  <c r="U1673" i="1"/>
  <c r="A1601" i="1"/>
  <c r="B1601" i="1"/>
  <c r="C1601" i="1"/>
  <c r="D1601" i="1"/>
  <c r="E1601" i="1"/>
  <c r="F1601" i="1"/>
  <c r="G1601" i="1"/>
  <c r="H1601" i="1"/>
  <c r="I1601" i="1"/>
  <c r="J1601" i="1"/>
  <c r="M1601" i="1"/>
  <c r="N1601" i="1"/>
  <c r="O1601" i="1"/>
  <c r="P1601" i="1"/>
  <c r="Q1601" i="1"/>
  <c r="R1601" i="1"/>
  <c r="S1601" i="1"/>
  <c r="T1601" i="1"/>
  <c r="U1601" i="1"/>
  <c r="A1602" i="1"/>
  <c r="B1602" i="1"/>
  <c r="C1602" i="1"/>
  <c r="D1602" i="1"/>
  <c r="E1602" i="1"/>
  <c r="F1602" i="1"/>
  <c r="G1602" i="1"/>
  <c r="H1602" i="1"/>
  <c r="I1602" i="1"/>
  <c r="J1602" i="1"/>
  <c r="M1602" i="1"/>
  <c r="N1602" i="1"/>
  <c r="O1602" i="1"/>
  <c r="P1602" i="1"/>
  <c r="Q1602" i="1"/>
  <c r="R1602" i="1"/>
  <c r="S1602" i="1"/>
  <c r="T1602" i="1"/>
  <c r="U1602" i="1"/>
  <c r="A1603" i="1"/>
  <c r="B1603" i="1"/>
  <c r="C1603" i="1"/>
  <c r="D1603" i="1"/>
  <c r="E1603" i="1"/>
  <c r="F1603" i="1"/>
  <c r="G1603" i="1"/>
  <c r="H1603" i="1"/>
  <c r="I1603" i="1"/>
  <c r="J1603" i="1"/>
  <c r="M1603" i="1"/>
  <c r="N1603" i="1"/>
  <c r="O1603" i="1"/>
  <c r="P1603" i="1"/>
  <c r="Q1603" i="1"/>
  <c r="R1603" i="1"/>
  <c r="S1603" i="1"/>
  <c r="T1603" i="1"/>
  <c r="U1603" i="1"/>
  <c r="A1604" i="1"/>
  <c r="B1604" i="1"/>
  <c r="C1604" i="1"/>
  <c r="D1604" i="1"/>
  <c r="E1604" i="1"/>
  <c r="F1604" i="1"/>
  <c r="G1604" i="1"/>
  <c r="H1604" i="1"/>
  <c r="I1604" i="1"/>
  <c r="J1604" i="1"/>
  <c r="M1604" i="1"/>
  <c r="N1604" i="1"/>
  <c r="O1604" i="1"/>
  <c r="P1604" i="1"/>
  <c r="Q1604" i="1"/>
  <c r="R1604" i="1"/>
  <c r="S1604" i="1"/>
  <c r="T1604" i="1"/>
  <c r="U1604" i="1"/>
  <c r="A1605" i="1"/>
  <c r="B1605" i="1"/>
  <c r="C1605" i="1"/>
  <c r="D1605" i="1"/>
  <c r="E1605" i="1"/>
  <c r="F1605" i="1"/>
  <c r="G1605" i="1"/>
  <c r="H1605" i="1"/>
  <c r="I1605" i="1"/>
  <c r="J1605" i="1"/>
  <c r="M1605" i="1"/>
  <c r="N1605" i="1"/>
  <c r="O1605" i="1"/>
  <c r="P1605" i="1"/>
  <c r="Q1605" i="1"/>
  <c r="R1605" i="1"/>
  <c r="S1605" i="1"/>
  <c r="T1605" i="1"/>
  <c r="U1605" i="1"/>
  <c r="A1606" i="1"/>
  <c r="B1606" i="1"/>
  <c r="C1606" i="1"/>
  <c r="D1606" i="1"/>
  <c r="E1606" i="1"/>
  <c r="F1606" i="1"/>
  <c r="G1606" i="1"/>
  <c r="H1606" i="1"/>
  <c r="I1606" i="1"/>
  <c r="J1606" i="1"/>
  <c r="M1606" i="1"/>
  <c r="N1606" i="1"/>
  <c r="O1606" i="1"/>
  <c r="P1606" i="1"/>
  <c r="Q1606" i="1"/>
  <c r="R1606" i="1"/>
  <c r="S1606" i="1"/>
  <c r="T1606" i="1"/>
  <c r="U1606" i="1"/>
  <c r="A1607" i="1"/>
  <c r="B1607" i="1"/>
  <c r="C1607" i="1"/>
  <c r="D1607" i="1"/>
  <c r="E1607" i="1"/>
  <c r="F1607" i="1"/>
  <c r="G1607" i="1"/>
  <c r="H1607" i="1"/>
  <c r="I1607" i="1"/>
  <c r="J1607" i="1"/>
  <c r="M1607" i="1"/>
  <c r="N1607" i="1"/>
  <c r="O1607" i="1"/>
  <c r="P1607" i="1"/>
  <c r="Q1607" i="1"/>
  <c r="R1607" i="1"/>
  <c r="S1607" i="1"/>
  <c r="T1607" i="1"/>
  <c r="U1607" i="1"/>
  <c r="A1479" i="1"/>
  <c r="B1479" i="1"/>
  <c r="C1479" i="1"/>
  <c r="D1479" i="1"/>
  <c r="E1479" i="1"/>
  <c r="F1479" i="1"/>
  <c r="G1479" i="1"/>
  <c r="H1479" i="1"/>
  <c r="I1479" i="1"/>
  <c r="J1479" i="1"/>
  <c r="M1479" i="1"/>
  <c r="N1479" i="1"/>
  <c r="O1479" i="1"/>
  <c r="P1479" i="1"/>
  <c r="Q1479" i="1"/>
  <c r="R1479" i="1"/>
  <c r="S1479" i="1"/>
  <c r="T1479" i="1"/>
  <c r="U1479" i="1"/>
  <c r="A1480" i="1"/>
  <c r="B1480" i="1"/>
  <c r="C1480" i="1"/>
  <c r="D1480" i="1"/>
  <c r="E1480" i="1"/>
  <c r="F1480" i="1"/>
  <c r="G1480" i="1"/>
  <c r="H1480" i="1"/>
  <c r="I1480" i="1"/>
  <c r="J1480" i="1"/>
  <c r="M1480" i="1"/>
  <c r="N1480" i="1"/>
  <c r="O1480" i="1"/>
  <c r="P1480" i="1"/>
  <c r="Q1480" i="1"/>
  <c r="R1480" i="1"/>
  <c r="S1480" i="1"/>
  <c r="T1480" i="1"/>
  <c r="U1480" i="1"/>
  <c r="A1481" i="1"/>
  <c r="B1481" i="1"/>
  <c r="C1481" i="1"/>
  <c r="D1481" i="1"/>
  <c r="E1481" i="1"/>
  <c r="F1481" i="1"/>
  <c r="G1481" i="1"/>
  <c r="H1481" i="1"/>
  <c r="I1481" i="1"/>
  <c r="J1481" i="1"/>
  <c r="M1481" i="1"/>
  <c r="N1481" i="1"/>
  <c r="O1481" i="1"/>
  <c r="P1481" i="1"/>
  <c r="Q1481" i="1"/>
  <c r="R1481" i="1"/>
  <c r="S1481" i="1"/>
  <c r="T1481" i="1"/>
  <c r="U1481" i="1"/>
  <c r="A1478" i="1"/>
  <c r="B1478" i="1"/>
  <c r="C1478" i="1"/>
  <c r="D1478" i="1"/>
  <c r="E1478" i="1"/>
  <c r="F1478" i="1"/>
  <c r="G1478" i="1"/>
  <c r="H1478" i="1"/>
  <c r="I1478" i="1"/>
  <c r="J1478" i="1"/>
  <c r="M1478" i="1"/>
  <c r="N1478" i="1"/>
  <c r="O1478" i="1"/>
  <c r="P1478" i="1"/>
  <c r="Q1478" i="1"/>
  <c r="R1478" i="1"/>
  <c r="S1478" i="1"/>
  <c r="T1478" i="1"/>
  <c r="U1478" i="1"/>
  <c r="A1402" i="1"/>
  <c r="B1402" i="1"/>
  <c r="C1402" i="1"/>
  <c r="D1402" i="1"/>
  <c r="E1402" i="1"/>
  <c r="F1402" i="1"/>
  <c r="G1402" i="1"/>
  <c r="H1402" i="1"/>
  <c r="I1402" i="1"/>
  <c r="J1402" i="1"/>
  <c r="M1402" i="1"/>
  <c r="N1402" i="1"/>
  <c r="O1402" i="1"/>
  <c r="P1402" i="1"/>
  <c r="Q1402" i="1"/>
  <c r="R1402" i="1"/>
  <c r="S1402" i="1"/>
  <c r="T1402" i="1"/>
  <c r="U1402" i="1"/>
  <c r="A1403" i="1"/>
  <c r="B1403" i="1"/>
  <c r="C1403" i="1"/>
  <c r="D1403" i="1"/>
  <c r="E1403" i="1"/>
  <c r="F1403" i="1"/>
  <c r="G1403" i="1"/>
  <c r="H1403" i="1"/>
  <c r="I1403" i="1"/>
  <c r="J1403" i="1"/>
  <c r="M1403" i="1"/>
  <c r="N1403" i="1"/>
  <c r="O1403" i="1"/>
  <c r="P1403" i="1"/>
  <c r="Q1403" i="1"/>
  <c r="R1403" i="1"/>
  <c r="S1403" i="1"/>
  <c r="T1403" i="1"/>
  <c r="U1403" i="1"/>
  <c r="A1404" i="1"/>
  <c r="B1404" i="1"/>
  <c r="C1404" i="1"/>
  <c r="D1404" i="1"/>
  <c r="E1404" i="1"/>
  <c r="F1404" i="1"/>
  <c r="G1404" i="1"/>
  <c r="H1404" i="1"/>
  <c r="I1404" i="1"/>
  <c r="J1404" i="1"/>
  <c r="M1404" i="1"/>
  <c r="N1404" i="1"/>
  <c r="O1404" i="1"/>
  <c r="P1404" i="1"/>
  <c r="Q1404" i="1"/>
  <c r="R1404" i="1"/>
  <c r="S1404" i="1"/>
  <c r="T1404" i="1"/>
  <c r="U1404" i="1"/>
  <c r="A1405" i="1"/>
  <c r="B1405" i="1"/>
  <c r="C1405" i="1"/>
  <c r="D1405" i="1"/>
  <c r="E1405" i="1"/>
  <c r="F1405" i="1"/>
  <c r="G1405" i="1"/>
  <c r="H1405" i="1"/>
  <c r="I1405" i="1"/>
  <c r="J1405" i="1"/>
  <c r="M1405" i="1"/>
  <c r="N1405" i="1"/>
  <c r="O1405" i="1"/>
  <c r="P1405" i="1"/>
  <c r="Q1405" i="1"/>
  <c r="R1405" i="1"/>
  <c r="S1405" i="1"/>
  <c r="T1405" i="1"/>
  <c r="U1405" i="1"/>
  <c r="A1406" i="1"/>
  <c r="B1406" i="1"/>
  <c r="C1406" i="1"/>
  <c r="D1406" i="1"/>
  <c r="E1406" i="1"/>
  <c r="F1406" i="1"/>
  <c r="G1406" i="1"/>
  <c r="H1406" i="1"/>
  <c r="I1406" i="1"/>
  <c r="J1406" i="1"/>
  <c r="M1406" i="1"/>
  <c r="N1406" i="1"/>
  <c r="O1406" i="1"/>
  <c r="P1406" i="1"/>
  <c r="Q1406" i="1"/>
  <c r="R1406" i="1"/>
  <c r="S1406" i="1"/>
  <c r="T1406" i="1"/>
  <c r="U1406" i="1"/>
  <c r="A1407" i="1"/>
  <c r="B1407" i="1"/>
  <c r="C1407" i="1"/>
  <c r="D1407" i="1"/>
  <c r="E1407" i="1"/>
  <c r="F1407" i="1"/>
  <c r="G1407" i="1"/>
  <c r="H1407" i="1"/>
  <c r="I1407" i="1"/>
  <c r="J1407" i="1"/>
  <c r="M1407" i="1"/>
  <c r="N1407" i="1"/>
  <c r="O1407" i="1"/>
  <c r="P1407" i="1"/>
  <c r="Q1407" i="1"/>
  <c r="R1407" i="1"/>
  <c r="S1407" i="1"/>
  <c r="T1407" i="1"/>
  <c r="U1407" i="1"/>
  <c r="A1408" i="1"/>
  <c r="B1408" i="1"/>
  <c r="C1408" i="1"/>
  <c r="D1408" i="1"/>
  <c r="E1408" i="1"/>
  <c r="F1408" i="1"/>
  <c r="G1408" i="1"/>
  <c r="H1408" i="1"/>
  <c r="I1408" i="1"/>
  <c r="J1408" i="1"/>
  <c r="M1408" i="1"/>
  <c r="N1408" i="1"/>
  <c r="O1408" i="1"/>
  <c r="P1408" i="1"/>
  <c r="Q1408" i="1"/>
  <c r="R1408" i="1"/>
  <c r="S1408" i="1"/>
  <c r="T1408" i="1"/>
  <c r="U1408" i="1"/>
  <c r="A1195" i="1"/>
  <c r="B1195" i="1"/>
  <c r="C1195" i="1"/>
  <c r="D1195" i="1"/>
  <c r="E1195" i="1"/>
  <c r="F1195" i="1"/>
  <c r="G1195" i="1"/>
  <c r="H1195" i="1"/>
  <c r="I1195" i="1"/>
  <c r="J1195" i="1"/>
  <c r="M1195" i="1"/>
  <c r="N1195" i="1"/>
  <c r="O1195" i="1"/>
  <c r="P1195" i="1"/>
  <c r="Q1195" i="1"/>
  <c r="R1195" i="1"/>
  <c r="S1195" i="1"/>
  <c r="T1195" i="1"/>
  <c r="U1195" i="1"/>
  <c r="A1196" i="1"/>
  <c r="B1196" i="1"/>
  <c r="C1196" i="1"/>
  <c r="D1196" i="1"/>
  <c r="E1196" i="1"/>
  <c r="F1196" i="1"/>
  <c r="G1196" i="1"/>
  <c r="H1196" i="1"/>
  <c r="I1196" i="1"/>
  <c r="J1196" i="1"/>
  <c r="M1196" i="1"/>
  <c r="N1196" i="1"/>
  <c r="O1196" i="1"/>
  <c r="P1196" i="1"/>
  <c r="Q1196" i="1"/>
  <c r="R1196" i="1"/>
  <c r="S1196" i="1"/>
  <c r="T1196" i="1"/>
  <c r="U1196" i="1"/>
  <c r="A1194" i="1"/>
  <c r="B1194" i="1"/>
  <c r="C1194" i="1"/>
  <c r="D1194" i="1"/>
  <c r="E1194" i="1"/>
  <c r="F1194" i="1"/>
  <c r="G1194" i="1"/>
  <c r="H1194" i="1"/>
  <c r="I1194" i="1"/>
  <c r="J1194" i="1"/>
  <c r="M1194" i="1"/>
  <c r="N1194" i="1"/>
  <c r="O1194" i="1"/>
  <c r="Q1194" i="1"/>
  <c r="R1194" i="1"/>
  <c r="S1194" i="1"/>
  <c r="T1194" i="1"/>
  <c r="U1194" i="1"/>
  <c r="A1197" i="1"/>
  <c r="B1197" i="1"/>
  <c r="C1197" i="1"/>
  <c r="D1197" i="1"/>
  <c r="E1197" i="1"/>
  <c r="F1197" i="1"/>
  <c r="G1197" i="1"/>
  <c r="H1197" i="1"/>
  <c r="I1197" i="1"/>
  <c r="J1197" i="1"/>
  <c r="M1197" i="1"/>
  <c r="N1197" i="1"/>
  <c r="O1197" i="1"/>
  <c r="P1197" i="1"/>
  <c r="Q1197" i="1"/>
  <c r="R1197" i="1"/>
  <c r="S1197" i="1"/>
  <c r="T1197" i="1"/>
  <c r="U1197" i="1"/>
  <c r="A1198" i="1"/>
  <c r="B1198" i="1"/>
  <c r="C1198" i="1"/>
  <c r="D1198" i="1"/>
  <c r="E1198" i="1"/>
  <c r="F1198" i="1"/>
  <c r="G1198" i="1"/>
  <c r="H1198" i="1"/>
  <c r="I1198" i="1"/>
  <c r="J1198" i="1"/>
  <c r="M1198" i="1"/>
  <c r="N1198" i="1"/>
  <c r="O1198" i="1"/>
  <c r="P1198" i="1"/>
  <c r="Q1198" i="1"/>
  <c r="R1198" i="1"/>
  <c r="S1198" i="1"/>
  <c r="T1198" i="1"/>
  <c r="U1198" i="1"/>
  <c r="A1199" i="1"/>
  <c r="B1199" i="1"/>
  <c r="C1199" i="1"/>
  <c r="D1199" i="1"/>
  <c r="E1199" i="1"/>
  <c r="F1199" i="1"/>
  <c r="G1199" i="1"/>
  <c r="H1199" i="1"/>
  <c r="I1199" i="1"/>
  <c r="J1199" i="1"/>
  <c r="M1199" i="1"/>
  <c r="N1199" i="1"/>
  <c r="O1199" i="1"/>
  <c r="P1199" i="1"/>
  <c r="Q1199" i="1"/>
  <c r="R1199" i="1"/>
  <c r="S1199" i="1"/>
  <c r="T1199" i="1"/>
  <c r="U1199" i="1"/>
  <c r="A1200" i="1"/>
  <c r="B1200" i="1"/>
  <c r="C1200" i="1"/>
  <c r="D1200" i="1"/>
  <c r="E1200" i="1"/>
  <c r="F1200" i="1"/>
  <c r="G1200" i="1"/>
  <c r="H1200" i="1"/>
  <c r="I1200" i="1"/>
  <c r="J1200" i="1"/>
  <c r="M1200" i="1"/>
  <c r="N1200" i="1"/>
  <c r="O1200" i="1"/>
  <c r="P1200" i="1"/>
  <c r="Q1200" i="1"/>
  <c r="R1200" i="1"/>
  <c r="S1200" i="1"/>
  <c r="T1200" i="1"/>
  <c r="U1200" i="1"/>
  <c r="A1201" i="1"/>
  <c r="B1201" i="1"/>
  <c r="C1201" i="1"/>
  <c r="D1201" i="1"/>
  <c r="E1201" i="1"/>
  <c r="F1201" i="1"/>
  <c r="G1201" i="1"/>
  <c r="H1201" i="1"/>
  <c r="I1201" i="1"/>
  <c r="J1201" i="1"/>
  <c r="M1201" i="1"/>
  <c r="N1201" i="1"/>
  <c r="O1201" i="1"/>
  <c r="P1201" i="1"/>
  <c r="Q1201" i="1"/>
  <c r="R1201" i="1"/>
  <c r="S1201" i="1"/>
  <c r="T1201" i="1"/>
  <c r="U1201" i="1"/>
  <c r="A1113" i="1"/>
  <c r="B1113" i="1"/>
  <c r="C1113" i="1"/>
  <c r="D1113" i="1"/>
  <c r="E1113" i="1"/>
  <c r="F1113" i="1"/>
  <c r="G1113" i="1"/>
  <c r="H1113" i="1"/>
  <c r="I1113" i="1"/>
  <c r="J1113" i="1"/>
  <c r="M1113" i="1"/>
  <c r="N1113" i="1"/>
  <c r="O1113" i="1"/>
  <c r="P1113" i="1"/>
  <c r="Q1113" i="1"/>
  <c r="R1113" i="1"/>
  <c r="S1113" i="1"/>
  <c r="T1113" i="1"/>
  <c r="U1113" i="1"/>
  <c r="A1116" i="1"/>
  <c r="B1116" i="1"/>
  <c r="C1116" i="1"/>
  <c r="D1116" i="1"/>
  <c r="E1116" i="1"/>
  <c r="F1116" i="1"/>
  <c r="G1116" i="1"/>
  <c r="H1116" i="1"/>
  <c r="I1116" i="1"/>
  <c r="J1116" i="1"/>
  <c r="M1116" i="1"/>
  <c r="N1116" i="1"/>
  <c r="O1116" i="1"/>
  <c r="P1116" i="1"/>
  <c r="Q1116" i="1"/>
  <c r="R1116" i="1"/>
  <c r="S1116" i="1"/>
  <c r="T1116" i="1"/>
  <c r="U1116" i="1"/>
  <c r="A1117" i="1"/>
  <c r="B1117" i="1"/>
  <c r="C1117" i="1"/>
  <c r="D1117" i="1"/>
  <c r="E1117" i="1"/>
  <c r="F1117" i="1"/>
  <c r="G1117" i="1"/>
  <c r="H1117" i="1"/>
  <c r="I1117" i="1"/>
  <c r="J1117" i="1"/>
  <c r="M1117" i="1"/>
  <c r="N1117" i="1"/>
  <c r="O1117" i="1"/>
  <c r="P1117" i="1"/>
  <c r="Q1117" i="1"/>
  <c r="R1117" i="1"/>
  <c r="S1117" i="1"/>
  <c r="T1117" i="1"/>
  <c r="U1117" i="1"/>
  <c r="A1114" i="1"/>
  <c r="B1114" i="1"/>
  <c r="C1114" i="1"/>
  <c r="D1114" i="1"/>
  <c r="E1114" i="1"/>
  <c r="F1114" i="1"/>
  <c r="G1114" i="1"/>
  <c r="H1114" i="1"/>
  <c r="I1114" i="1"/>
  <c r="J1114" i="1"/>
  <c r="M1114" i="1"/>
  <c r="N1114" i="1"/>
  <c r="O1114" i="1"/>
  <c r="P1114" i="1"/>
  <c r="Q1114" i="1"/>
  <c r="R1114" i="1"/>
  <c r="S1114" i="1"/>
  <c r="T1114" i="1"/>
  <c r="U1114" i="1"/>
  <c r="A1115" i="1"/>
  <c r="B1115" i="1"/>
  <c r="C1115" i="1"/>
  <c r="D1115" i="1"/>
  <c r="E1115" i="1"/>
  <c r="F1115" i="1"/>
  <c r="G1115" i="1"/>
  <c r="H1115" i="1"/>
  <c r="I1115" i="1"/>
  <c r="J1115" i="1"/>
  <c r="M1115" i="1"/>
  <c r="N1115" i="1"/>
  <c r="O1115" i="1"/>
  <c r="P1115" i="1"/>
  <c r="Q1115" i="1"/>
  <c r="R1115" i="1"/>
  <c r="S1115" i="1"/>
  <c r="T1115" i="1"/>
  <c r="U1115" i="1"/>
  <c r="A1019" i="1"/>
  <c r="B1019" i="1"/>
  <c r="C1019" i="1"/>
  <c r="D1019" i="1"/>
  <c r="E1019" i="1"/>
  <c r="F1019" i="1"/>
  <c r="G1019" i="1"/>
  <c r="H1019" i="1"/>
  <c r="I1019" i="1"/>
  <c r="J1019" i="1"/>
  <c r="M1019" i="1"/>
  <c r="N1019" i="1"/>
  <c r="O1019" i="1"/>
  <c r="P1019" i="1"/>
  <c r="Q1019" i="1"/>
  <c r="R1019" i="1"/>
  <c r="S1019" i="1"/>
  <c r="T1019" i="1"/>
  <c r="U1019" i="1"/>
  <c r="A1020" i="1"/>
  <c r="B1020" i="1"/>
  <c r="C1020" i="1"/>
  <c r="D1020" i="1"/>
  <c r="E1020" i="1"/>
  <c r="F1020" i="1"/>
  <c r="G1020" i="1"/>
  <c r="H1020" i="1"/>
  <c r="I1020" i="1"/>
  <c r="J1020" i="1"/>
  <c r="M1020" i="1"/>
  <c r="N1020" i="1"/>
  <c r="O1020" i="1"/>
  <c r="P1020" i="1"/>
  <c r="Q1020" i="1"/>
  <c r="R1020" i="1"/>
  <c r="S1020" i="1"/>
  <c r="T1020" i="1"/>
  <c r="U1020" i="1"/>
  <c r="A1021" i="1"/>
  <c r="B1021" i="1"/>
  <c r="C1021" i="1"/>
  <c r="D1021" i="1"/>
  <c r="E1021" i="1"/>
  <c r="F1021" i="1"/>
  <c r="G1021" i="1"/>
  <c r="H1021" i="1"/>
  <c r="I1021" i="1"/>
  <c r="J1021" i="1"/>
  <c r="M1021" i="1"/>
  <c r="N1021" i="1"/>
  <c r="O1021" i="1"/>
  <c r="P1021" i="1"/>
  <c r="Q1021" i="1"/>
  <c r="R1021" i="1"/>
  <c r="S1021" i="1"/>
  <c r="T1021" i="1"/>
  <c r="U1021" i="1"/>
  <c r="A1022" i="1"/>
  <c r="B1022" i="1"/>
  <c r="C1022" i="1"/>
  <c r="D1022" i="1"/>
  <c r="E1022" i="1"/>
  <c r="F1022" i="1"/>
  <c r="G1022" i="1"/>
  <c r="H1022" i="1"/>
  <c r="I1022" i="1"/>
  <c r="J1022" i="1"/>
  <c r="M1022" i="1"/>
  <c r="N1022" i="1"/>
  <c r="O1022" i="1"/>
  <c r="P1022" i="1"/>
  <c r="Q1022" i="1"/>
  <c r="R1022" i="1"/>
  <c r="S1022" i="1"/>
  <c r="T1022" i="1"/>
  <c r="U1022" i="1"/>
  <c r="A1023" i="1"/>
  <c r="B1023" i="1"/>
  <c r="C1023" i="1"/>
  <c r="D1023" i="1"/>
  <c r="E1023" i="1"/>
  <c r="F1023" i="1"/>
  <c r="G1023" i="1"/>
  <c r="H1023" i="1"/>
  <c r="I1023" i="1"/>
  <c r="J1023" i="1"/>
  <c r="M1023" i="1"/>
  <c r="N1023" i="1"/>
  <c r="O1023" i="1"/>
  <c r="P1023" i="1"/>
  <c r="Q1023" i="1"/>
  <c r="R1023" i="1"/>
  <c r="S1023" i="1"/>
  <c r="T1023" i="1"/>
  <c r="U1023" i="1"/>
  <c r="A1024" i="1"/>
  <c r="B1024" i="1"/>
  <c r="C1024" i="1"/>
  <c r="D1024" i="1"/>
  <c r="E1024" i="1"/>
  <c r="F1024" i="1"/>
  <c r="G1024" i="1"/>
  <c r="H1024" i="1"/>
  <c r="I1024" i="1"/>
  <c r="J1024" i="1"/>
  <c r="M1024" i="1"/>
  <c r="N1024" i="1"/>
  <c r="O1024" i="1"/>
  <c r="P1024" i="1"/>
  <c r="Q1024" i="1"/>
  <c r="R1024" i="1"/>
  <c r="S1024" i="1"/>
  <c r="T1024" i="1"/>
  <c r="U1024" i="1"/>
  <c r="A1025" i="1"/>
  <c r="B1025" i="1"/>
  <c r="C1025" i="1"/>
  <c r="D1025" i="1"/>
  <c r="E1025" i="1"/>
  <c r="F1025" i="1"/>
  <c r="G1025" i="1"/>
  <c r="H1025" i="1"/>
  <c r="I1025" i="1"/>
  <c r="J1025" i="1"/>
  <c r="M1025" i="1"/>
  <c r="N1025" i="1"/>
  <c r="O1025" i="1"/>
  <c r="P1025" i="1"/>
  <c r="Q1025" i="1"/>
  <c r="R1025" i="1"/>
  <c r="S1025" i="1"/>
  <c r="T1025" i="1"/>
  <c r="U1025" i="1"/>
  <c r="A1026" i="1"/>
  <c r="B1026" i="1"/>
  <c r="C1026" i="1"/>
  <c r="D1026" i="1"/>
  <c r="E1026" i="1"/>
  <c r="F1026" i="1"/>
  <c r="G1026" i="1"/>
  <c r="H1026" i="1"/>
  <c r="I1026" i="1"/>
  <c r="J1026" i="1"/>
  <c r="M1026" i="1"/>
  <c r="N1026" i="1"/>
  <c r="O1026" i="1"/>
  <c r="P1026" i="1"/>
  <c r="Q1026" i="1"/>
  <c r="R1026" i="1"/>
  <c r="S1026" i="1"/>
  <c r="T1026" i="1"/>
  <c r="U1026" i="1"/>
  <c r="A1027" i="1"/>
  <c r="B1027" i="1"/>
  <c r="C1027" i="1"/>
  <c r="D1027" i="1"/>
  <c r="E1027" i="1"/>
  <c r="F1027" i="1"/>
  <c r="G1027" i="1"/>
  <c r="H1027" i="1"/>
  <c r="I1027" i="1"/>
  <c r="J1027" i="1"/>
  <c r="M1027" i="1"/>
  <c r="N1027" i="1"/>
  <c r="O1027" i="1"/>
  <c r="P1027" i="1"/>
  <c r="Q1027" i="1"/>
  <c r="R1027" i="1"/>
  <c r="S1027" i="1"/>
  <c r="T1027" i="1"/>
  <c r="U1027" i="1"/>
  <c r="A1028" i="1"/>
  <c r="B1028" i="1"/>
  <c r="C1028" i="1"/>
  <c r="D1028" i="1"/>
  <c r="E1028" i="1"/>
  <c r="F1028" i="1"/>
  <c r="G1028" i="1"/>
  <c r="H1028" i="1"/>
  <c r="I1028" i="1"/>
  <c r="J1028" i="1"/>
  <c r="M1028" i="1"/>
  <c r="N1028" i="1"/>
  <c r="O1028" i="1"/>
  <c r="P1028" i="1"/>
  <c r="Q1028" i="1"/>
  <c r="R1028" i="1"/>
  <c r="S1028" i="1"/>
  <c r="T1028" i="1"/>
  <c r="U1028" i="1"/>
  <c r="A1029" i="1"/>
  <c r="B1029" i="1"/>
  <c r="C1029" i="1"/>
  <c r="D1029" i="1"/>
  <c r="E1029" i="1"/>
  <c r="F1029" i="1"/>
  <c r="G1029" i="1"/>
  <c r="H1029" i="1"/>
  <c r="I1029" i="1"/>
  <c r="J1029" i="1"/>
  <c r="M1029" i="1"/>
  <c r="N1029" i="1"/>
  <c r="O1029" i="1"/>
  <c r="P1029" i="1"/>
  <c r="Q1029" i="1"/>
  <c r="R1029" i="1"/>
  <c r="S1029" i="1"/>
  <c r="T1029" i="1"/>
  <c r="U1029" i="1"/>
  <c r="A948" i="1"/>
  <c r="B948" i="1"/>
  <c r="C948" i="1"/>
  <c r="D948" i="1"/>
  <c r="E948" i="1"/>
  <c r="F948" i="1"/>
  <c r="G948" i="1"/>
  <c r="H948" i="1"/>
  <c r="I948" i="1"/>
  <c r="J948" i="1"/>
  <c r="M948" i="1"/>
  <c r="N948" i="1"/>
  <c r="O948" i="1"/>
  <c r="P948" i="1"/>
  <c r="Q948" i="1"/>
  <c r="R948" i="1"/>
  <c r="S948" i="1"/>
  <c r="T948" i="1"/>
  <c r="U948" i="1"/>
  <c r="A949" i="1"/>
  <c r="B949" i="1"/>
  <c r="C949" i="1"/>
  <c r="D949" i="1"/>
  <c r="E949" i="1"/>
  <c r="F949" i="1"/>
  <c r="G949" i="1"/>
  <c r="H949" i="1"/>
  <c r="I949" i="1"/>
  <c r="J949" i="1"/>
  <c r="M949" i="1"/>
  <c r="N949" i="1"/>
  <c r="O949" i="1"/>
  <c r="P949" i="1"/>
  <c r="Q949" i="1"/>
  <c r="R949" i="1"/>
  <c r="S949" i="1"/>
  <c r="T949" i="1"/>
  <c r="U949" i="1"/>
  <c r="A950" i="1"/>
  <c r="B950" i="1"/>
  <c r="C950" i="1"/>
  <c r="D950" i="1"/>
  <c r="E950" i="1"/>
  <c r="F950" i="1"/>
  <c r="G950" i="1"/>
  <c r="H950" i="1"/>
  <c r="I950" i="1"/>
  <c r="J950" i="1"/>
  <c r="M950" i="1"/>
  <c r="N950" i="1"/>
  <c r="O950" i="1"/>
  <c r="P950" i="1"/>
  <c r="Q950" i="1"/>
  <c r="R950" i="1"/>
  <c r="S950" i="1"/>
  <c r="T950" i="1"/>
  <c r="U950" i="1"/>
  <c r="A951" i="1"/>
  <c r="B951" i="1"/>
  <c r="C951" i="1"/>
  <c r="D951" i="1"/>
  <c r="E951" i="1"/>
  <c r="F951" i="1"/>
  <c r="G951" i="1"/>
  <c r="H951" i="1"/>
  <c r="I951" i="1"/>
  <c r="J951" i="1"/>
  <c r="M951" i="1"/>
  <c r="N951" i="1"/>
  <c r="O951" i="1"/>
  <c r="P951" i="1"/>
  <c r="Q951" i="1"/>
  <c r="R951" i="1"/>
  <c r="S951" i="1"/>
  <c r="T951" i="1"/>
  <c r="U951" i="1"/>
  <c r="A955" i="1"/>
  <c r="B955" i="1"/>
  <c r="C955" i="1"/>
  <c r="D955" i="1"/>
  <c r="E955" i="1"/>
  <c r="F955" i="1"/>
  <c r="G955" i="1"/>
  <c r="H955" i="1"/>
  <c r="I955" i="1"/>
  <c r="J955" i="1"/>
  <c r="M955" i="1"/>
  <c r="N955" i="1"/>
  <c r="O955" i="1"/>
  <c r="P955" i="1"/>
  <c r="Q955" i="1"/>
  <c r="R955" i="1"/>
  <c r="S955" i="1"/>
  <c r="T955" i="1"/>
  <c r="U955" i="1"/>
  <c r="A952" i="1"/>
  <c r="B952" i="1"/>
  <c r="C952" i="1"/>
  <c r="D952" i="1"/>
  <c r="E952" i="1"/>
  <c r="F952" i="1"/>
  <c r="G952" i="1"/>
  <c r="H952" i="1"/>
  <c r="I952" i="1"/>
  <c r="J952" i="1"/>
  <c r="M952" i="1"/>
  <c r="N952" i="1"/>
  <c r="O952" i="1"/>
  <c r="P952" i="1"/>
  <c r="Q952" i="1"/>
  <c r="R952" i="1"/>
  <c r="S952" i="1"/>
  <c r="T952" i="1"/>
  <c r="U952" i="1"/>
  <c r="A953" i="1"/>
  <c r="B953" i="1"/>
  <c r="C953" i="1"/>
  <c r="D953" i="1"/>
  <c r="E953" i="1"/>
  <c r="F953" i="1"/>
  <c r="G953" i="1"/>
  <c r="H953" i="1"/>
  <c r="I953" i="1"/>
  <c r="J953" i="1"/>
  <c r="M953" i="1"/>
  <c r="N953" i="1"/>
  <c r="O953" i="1"/>
  <c r="P953" i="1"/>
  <c r="Q953" i="1"/>
  <c r="R953" i="1"/>
  <c r="S953" i="1"/>
  <c r="U953" i="1"/>
  <c r="A761" i="1"/>
  <c r="B761" i="1"/>
  <c r="C761" i="1"/>
  <c r="D761" i="1"/>
  <c r="E761" i="1"/>
  <c r="F761" i="1"/>
  <c r="G761" i="1"/>
  <c r="H761" i="1"/>
  <c r="I761" i="1"/>
  <c r="J761" i="1"/>
  <c r="M761" i="1"/>
  <c r="N761" i="1"/>
  <c r="O761" i="1"/>
  <c r="P761" i="1"/>
  <c r="Q761" i="1"/>
  <c r="R761" i="1"/>
  <c r="S761" i="1"/>
  <c r="T761" i="1"/>
  <c r="U761" i="1"/>
  <c r="A762" i="1"/>
  <c r="B762" i="1"/>
  <c r="C762" i="1"/>
  <c r="D762" i="1"/>
  <c r="E762" i="1"/>
  <c r="F762" i="1"/>
  <c r="G762" i="1"/>
  <c r="H762" i="1"/>
  <c r="I762" i="1"/>
  <c r="J762" i="1"/>
  <c r="M762" i="1"/>
  <c r="N762" i="1"/>
  <c r="O762" i="1"/>
  <c r="P762" i="1"/>
  <c r="Q762" i="1"/>
  <c r="R762" i="1"/>
  <c r="S762" i="1"/>
  <c r="T762" i="1"/>
  <c r="U762" i="1"/>
  <c r="A763" i="1"/>
  <c r="B763" i="1"/>
  <c r="C763" i="1"/>
  <c r="D763" i="1"/>
  <c r="E763" i="1"/>
  <c r="F763" i="1"/>
  <c r="G763" i="1"/>
  <c r="H763" i="1"/>
  <c r="I763" i="1"/>
  <c r="J763" i="1"/>
  <c r="M763" i="1"/>
  <c r="N763" i="1"/>
  <c r="O763" i="1"/>
  <c r="P763" i="1"/>
  <c r="Q763" i="1"/>
  <c r="R763" i="1"/>
  <c r="S763" i="1"/>
  <c r="T763" i="1"/>
  <c r="U763" i="1"/>
  <c r="A764" i="1"/>
  <c r="B764" i="1"/>
  <c r="C764" i="1"/>
  <c r="D764" i="1"/>
  <c r="E764" i="1"/>
  <c r="F764" i="1"/>
  <c r="G764" i="1"/>
  <c r="H764" i="1"/>
  <c r="I764" i="1"/>
  <c r="J764" i="1"/>
  <c r="M764" i="1"/>
  <c r="N764" i="1"/>
  <c r="O764" i="1"/>
  <c r="P764" i="1"/>
  <c r="Q764" i="1"/>
  <c r="R764" i="1"/>
  <c r="S764" i="1"/>
  <c r="T764" i="1"/>
  <c r="U764" i="1"/>
  <c r="A652" i="1"/>
  <c r="B652" i="1"/>
  <c r="C652" i="1"/>
  <c r="D652" i="1"/>
  <c r="E652" i="1"/>
  <c r="F652" i="1"/>
  <c r="G652" i="1"/>
  <c r="H652" i="1"/>
  <c r="I652" i="1"/>
  <c r="J652" i="1"/>
  <c r="M652" i="1"/>
  <c r="N652" i="1"/>
  <c r="O652" i="1"/>
  <c r="P652" i="1"/>
  <c r="Q652" i="1"/>
  <c r="R652" i="1"/>
  <c r="S652" i="1"/>
  <c r="T652" i="1"/>
  <c r="U652" i="1"/>
  <c r="A653" i="1"/>
  <c r="B653" i="1"/>
  <c r="C653" i="1"/>
  <c r="D653" i="1"/>
  <c r="E653" i="1"/>
  <c r="F653" i="1"/>
  <c r="G653" i="1"/>
  <c r="H653" i="1"/>
  <c r="I653" i="1"/>
  <c r="J653" i="1"/>
  <c r="M653" i="1"/>
  <c r="N653" i="1"/>
  <c r="O653" i="1"/>
  <c r="P653" i="1"/>
  <c r="Q653" i="1"/>
  <c r="R653" i="1"/>
  <c r="S653" i="1"/>
  <c r="T653" i="1"/>
  <c r="U653" i="1"/>
  <c r="A654" i="1"/>
  <c r="B654" i="1"/>
  <c r="C654" i="1"/>
  <c r="D654" i="1"/>
  <c r="E654" i="1"/>
  <c r="F654" i="1"/>
  <c r="G654" i="1"/>
  <c r="H654" i="1"/>
  <c r="I654" i="1"/>
  <c r="J654" i="1"/>
  <c r="M654" i="1"/>
  <c r="N654" i="1"/>
  <c r="O654" i="1"/>
  <c r="P654" i="1"/>
  <c r="Q654" i="1"/>
  <c r="R654" i="1"/>
  <c r="S654" i="1"/>
  <c r="T654" i="1"/>
  <c r="U654" i="1"/>
  <c r="A655" i="1"/>
  <c r="B655" i="1"/>
  <c r="C655" i="1"/>
  <c r="D655" i="1"/>
  <c r="E655" i="1"/>
  <c r="F655" i="1"/>
  <c r="G655" i="1"/>
  <c r="H655" i="1"/>
  <c r="I655" i="1"/>
  <c r="J655" i="1"/>
  <c r="M655" i="1"/>
  <c r="N655" i="1"/>
  <c r="O655" i="1"/>
  <c r="P655" i="1"/>
  <c r="Q655" i="1"/>
  <c r="R655" i="1"/>
  <c r="S655" i="1"/>
  <c r="T655" i="1"/>
  <c r="U655" i="1"/>
  <c r="A660" i="1"/>
  <c r="B660" i="1"/>
  <c r="C660" i="1"/>
  <c r="D660" i="1"/>
  <c r="E660" i="1"/>
  <c r="F660" i="1"/>
  <c r="G660" i="1"/>
  <c r="H660" i="1"/>
  <c r="I660" i="1"/>
  <c r="J660" i="1"/>
  <c r="M660" i="1"/>
  <c r="N660" i="1"/>
  <c r="O660" i="1"/>
  <c r="P660" i="1"/>
  <c r="Q660" i="1"/>
  <c r="R660" i="1"/>
  <c r="S660" i="1"/>
  <c r="T660" i="1"/>
  <c r="U660" i="1"/>
  <c r="A656" i="1"/>
  <c r="B656" i="1"/>
  <c r="C656" i="1"/>
  <c r="D656" i="1"/>
  <c r="E656" i="1"/>
  <c r="F656" i="1"/>
  <c r="G656" i="1"/>
  <c r="H656" i="1"/>
  <c r="I656" i="1"/>
  <c r="J656" i="1"/>
  <c r="M656" i="1"/>
  <c r="N656" i="1"/>
  <c r="O656" i="1"/>
  <c r="P656" i="1"/>
  <c r="Q656" i="1"/>
  <c r="R656" i="1"/>
  <c r="S656" i="1"/>
  <c r="T656" i="1"/>
  <c r="U656" i="1"/>
  <c r="A657" i="1"/>
  <c r="B657" i="1"/>
  <c r="C657" i="1"/>
  <c r="D657" i="1"/>
  <c r="E657" i="1"/>
  <c r="F657" i="1"/>
  <c r="G657" i="1"/>
  <c r="H657" i="1"/>
  <c r="I657" i="1"/>
  <c r="J657" i="1"/>
  <c r="M657" i="1"/>
  <c r="N657" i="1"/>
  <c r="O657" i="1"/>
  <c r="P657" i="1"/>
  <c r="Q657" i="1"/>
  <c r="R657" i="1"/>
  <c r="S657" i="1"/>
  <c r="T657" i="1"/>
  <c r="U657" i="1"/>
  <c r="A658" i="1"/>
  <c r="B658" i="1"/>
  <c r="C658" i="1"/>
  <c r="D658" i="1"/>
  <c r="E658" i="1"/>
  <c r="F658" i="1"/>
  <c r="G658" i="1"/>
  <c r="H658" i="1"/>
  <c r="I658" i="1"/>
  <c r="J658" i="1"/>
  <c r="M658" i="1"/>
  <c r="N658" i="1"/>
  <c r="O658" i="1"/>
  <c r="P658" i="1"/>
  <c r="Q658" i="1"/>
  <c r="R658" i="1"/>
  <c r="S658" i="1"/>
  <c r="T658" i="1"/>
  <c r="U658" i="1"/>
  <c r="A659" i="1"/>
  <c r="B659" i="1"/>
  <c r="C659" i="1"/>
  <c r="D659" i="1"/>
  <c r="E659" i="1"/>
  <c r="F659" i="1"/>
  <c r="G659" i="1"/>
  <c r="H659" i="1"/>
  <c r="I659" i="1"/>
  <c r="J659" i="1"/>
  <c r="M659" i="1"/>
  <c r="N659" i="1"/>
  <c r="O659" i="1"/>
  <c r="P659" i="1"/>
  <c r="Q659" i="1"/>
  <c r="R659" i="1"/>
  <c r="S659" i="1"/>
  <c r="T659" i="1"/>
  <c r="U659" i="1"/>
  <c r="A525" i="1"/>
  <c r="B525" i="1"/>
  <c r="C525" i="1"/>
  <c r="D525" i="1"/>
  <c r="E525" i="1"/>
  <c r="F525" i="1"/>
  <c r="G525" i="1"/>
  <c r="H525" i="1"/>
  <c r="I525" i="1"/>
  <c r="J525" i="1"/>
  <c r="M525" i="1"/>
  <c r="N525" i="1"/>
  <c r="O525" i="1"/>
  <c r="P525" i="1"/>
  <c r="Q525" i="1"/>
  <c r="R525" i="1"/>
  <c r="S525" i="1"/>
  <c r="T525" i="1"/>
  <c r="U525" i="1"/>
  <c r="A526" i="1"/>
  <c r="B526" i="1"/>
  <c r="C526" i="1"/>
  <c r="D526" i="1"/>
  <c r="E526" i="1"/>
  <c r="F526" i="1"/>
  <c r="G526" i="1"/>
  <c r="H526" i="1"/>
  <c r="I526" i="1"/>
  <c r="J526" i="1"/>
  <c r="M526" i="1"/>
  <c r="N526" i="1"/>
  <c r="O526" i="1"/>
  <c r="P526" i="1"/>
  <c r="Q526" i="1"/>
  <c r="R526" i="1"/>
  <c r="S526" i="1"/>
  <c r="T526" i="1"/>
  <c r="U526" i="1"/>
  <c r="A527" i="1"/>
  <c r="B527" i="1"/>
  <c r="C527" i="1"/>
  <c r="D527" i="1"/>
  <c r="E527" i="1"/>
  <c r="F527" i="1"/>
  <c r="G527" i="1"/>
  <c r="H527" i="1"/>
  <c r="I527" i="1"/>
  <c r="J527" i="1"/>
  <c r="M527" i="1"/>
  <c r="N527" i="1"/>
  <c r="O527" i="1"/>
  <c r="P527" i="1"/>
  <c r="Q527" i="1"/>
  <c r="R527" i="1"/>
  <c r="S527" i="1"/>
  <c r="T527" i="1"/>
  <c r="U527" i="1"/>
  <c r="A528" i="1"/>
  <c r="B528" i="1"/>
  <c r="C528" i="1"/>
  <c r="D528" i="1"/>
  <c r="E528" i="1"/>
  <c r="F528" i="1"/>
  <c r="G528" i="1"/>
  <c r="H528" i="1"/>
  <c r="I528" i="1"/>
  <c r="J528" i="1"/>
  <c r="M528" i="1"/>
  <c r="N528" i="1"/>
  <c r="O528" i="1"/>
  <c r="P528" i="1"/>
  <c r="Q528" i="1"/>
  <c r="R528" i="1"/>
  <c r="S528" i="1"/>
  <c r="T528" i="1"/>
  <c r="U528" i="1"/>
  <c r="A529" i="1"/>
  <c r="B529" i="1"/>
  <c r="C529" i="1"/>
  <c r="D529" i="1"/>
  <c r="E529" i="1"/>
  <c r="F529" i="1"/>
  <c r="G529" i="1"/>
  <c r="H529" i="1"/>
  <c r="I529" i="1"/>
  <c r="J529" i="1"/>
  <c r="M529" i="1"/>
  <c r="N529" i="1"/>
  <c r="O529" i="1"/>
  <c r="P529" i="1"/>
  <c r="Q529" i="1"/>
  <c r="R529" i="1"/>
  <c r="S529" i="1"/>
  <c r="T529" i="1"/>
  <c r="U529" i="1"/>
  <c r="A530" i="1"/>
  <c r="B530" i="1"/>
  <c r="C530" i="1"/>
  <c r="D530" i="1"/>
  <c r="E530" i="1"/>
  <c r="F530" i="1"/>
  <c r="G530" i="1"/>
  <c r="H530" i="1"/>
  <c r="I530" i="1"/>
  <c r="J530" i="1"/>
  <c r="M530" i="1"/>
  <c r="N530" i="1"/>
  <c r="O530" i="1"/>
  <c r="P530" i="1"/>
  <c r="Q530" i="1"/>
  <c r="R530" i="1"/>
  <c r="S530" i="1"/>
  <c r="T530" i="1"/>
  <c r="U530" i="1"/>
  <c r="A531" i="1"/>
  <c r="B531" i="1"/>
  <c r="C531" i="1"/>
  <c r="D531" i="1"/>
  <c r="E531" i="1"/>
  <c r="F531" i="1"/>
  <c r="G531" i="1"/>
  <c r="H531" i="1"/>
  <c r="I531" i="1"/>
  <c r="J531" i="1"/>
  <c r="M531" i="1"/>
  <c r="N531" i="1"/>
  <c r="O531" i="1"/>
  <c r="P531" i="1"/>
  <c r="Q531" i="1"/>
  <c r="R531" i="1"/>
  <c r="S531" i="1"/>
  <c r="T531" i="1"/>
  <c r="U531" i="1"/>
  <c r="A396" i="1"/>
  <c r="B396" i="1"/>
  <c r="C396" i="1"/>
  <c r="D396" i="1"/>
  <c r="E396" i="1"/>
  <c r="F396" i="1"/>
  <c r="G396" i="1"/>
  <c r="H396" i="1"/>
  <c r="I396" i="1"/>
  <c r="J396" i="1"/>
  <c r="M396" i="1"/>
  <c r="N396" i="1"/>
  <c r="O396" i="1"/>
  <c r="P396" i="1"/>
  <c r="Q396" i="1"/>
  <c r="R396" i="1"/>
  <c r="S396" i="1"/>
  <c r="T396" i="1"/>
  <c r="U396" i="1"/>
  <c r="A320" i="1"/>
  <c r="B320" i="1"/>
  <c r="C320" i="1"/>
  <c r="D320" i="1"/>
  <c r="E320" i="1"/>
  <c r="F320" i="1"/>
  <c r="G320" i="1"/>
  <c r="H320" i="1"/>
  <c r="I320" i="1"/>
  <c r="J320" i="1"/>
  <c r="M320" i="1"/>
  <c r="N320" i="1"/>
  <c r="O320" i="1"/>
  <c r="P320" i="1"/>
  <c r="Q320" i="1"/>
  <c r="R320" i="1"/>
  <c r="S320" i="1"/>
  <c r="T320" i="1"/>
  <c r="U320" i="1"/>
  <c r="A321" i="1"/>
  <c r="B321" i="1"/>
  <c r="C321" i="1"/>
  <c r="D321" i="1"/>
  <c r="E321" i="1"/>
  <c r="F321" i="1"/>
  <c r="G321" i="1"/>
  <c r="H321" i="1"/>
  <c r="I321" i="1"/>
  <c r="J321" i="1"/>
  <c r="M321" i="1"/>
  <c r="N321" i="1"/>
  <c r="O321" i="1"/>
  <c r="P321" i="1"/>
  <c r="Q321" i="1"/>
  <c r="R321" i="1"/>
  <c r="S321" i="1"/>
  <c r="T321" i="1"/>
  <c r="U321" i="1"/>
  <c r="A322" i="1"/>
  <c r="B322" i="1"/>
  <c r="C322" i="1"/>
  <c r="D322" i="1"/>
  <c r="E322" i="1"/>
  <c r="F322" i="1"/>
  <c r="G322" i="1"/>
  <c r="H322" i="1"/>
  <c r="I322" i="1"/>
  <c r="J322" i="1"/>
  <c r="M322" i="1"/>
  <c r="N322" i="1"/>
  <c r="O322" i="1"/>
  <c r="P322" i="1"/>
  <c r="Q322" i="1"/>
  <c r="R322" i="1"/>
  <c r="S322" i="1"/>
  <c r="T322" i="1"/>
  <c r="U322" i="1"/>
  <c r="A324" i="1"/>
  <c r="B324" i="1"/>
  <c r="C324" i="1"/>
  <c r="D324" i="1"/>
  <c r="E324" i="1"/>
  <c r="F324" i="1"/>
  <c r="G324" i="1"/>
  <c r="H324" i="1"/>
  <c r="I324" i="1"/>
  <c r="J324" i="1"/>
  <c r="M324" i="1"/>
  <c r="N324" i="1"/>
  <c r="O324" i="1"/>
  <c r="P324" i="1"/>
  <c r="Q324" i="1"/>
  <c r="R324" i="1"/>
  <c r="S324" i="1"/>
  <c r="T324" i="1"/>
  <c r="U324" i="1"/>
  <c r="A323" i="1"/>
  <c r="B323" i="1"/>
  <c r="C323" i="1"/>
  <c r="D323" i="1"/>
  <c r="E323" i="1"/>
  <c r="F323" i="1"/>
  <c r="G323" i="1"/>
  <c r="H323" i="1"/>
  <c r="I323" i="1"/>
  <c r="J323" i="1"/>
  <c r="M323" i="1"/>
  <c r="N323" i="1"/>
  <c r="O323" i="1"/>
  <c r="P323" i="1"/>
  <c r="Q323" i="1"/>
  <c r="R323" i="1"/>
  <c r="S323" i="1"/>
  <c r="T323" i="1"/>
  <c r="U323" i="1"/>
  <c r="A268" i="1"/>
  <c r="B268" i="1"/>
  <c r="C268" i="1"/>
  <c r="D268" i="1"/>
  <c r="E268" i="1"/>
  <c r="F268" i="1"/>
  <c r="G268" i="1"/>
  <c r="H268" i="1"/>
  <c r="I268" i="1"/>
  <c r="J268" i="1"/>
  <c r="M268" i="1"/>
  <c r="N268" i="1"/>
  <c r="O268" i="1"/>
  <c r="P268" i="1"/>
  <c r="Q268" i="1"/>
  <c r="R268" i="1"/>
  <c r="S268" i="1"/>
  <c r="T268" i="1"/>
  <c r="U268" i="1"/>
  <c r="A269" i="1"/>
  <c r="B269" i="1"/>
  <c r="C269" i="1"/>
  <c r="D269" i="1"/>
  <c r="E269" i="1"/>
  <c r="F269" i="1"/>
  <c r="G269" i="1"/>
  <c r="H269" i="1"/>
  <c r="I269" i="1"/>
  <c r="J269" i="1"/>
  <c r="M269" i="1"/>
  <c r="N269" i="1"/>
  <c r="O269" i="1"/>
  <c r="P269" i="1"/>
  <c r="Q269" i="1"/>
  <c r="R269" i="1"/>
  <c r="S269" i="1"/>
  <c r="T269" i="1"/>
  <c r="U269" i="1"/>
  <c r="A270" i="1"/>
  <c r="B270" i="1"/>
  <c r="C270" i="1"/>
  <c r="D270" i="1"/>
  <c r="E270" i="1"/>
  <c r="F270" i="1"/>
  <c r="G270" i="1"/>
  <c r="H270" i="1"/>
  <c r="I270" i="1"/>
  <c r="J270" i="1"/>
  <c r="M270" i="1"/>
  <c r="N270" i="1"/>
  <c r="O270" i="1"/>
  <c r="P270" i="1"/>
  <c r="Q270" i="1"/>
  <c r="R270" i="1"/>
  <c r="S270" i="1"/>
  <c r="T270" i="1"/>
  <c r="U270" i="1"/>
  <c r="A274" i="1"/>
  <c r="B274" i="1"/>
  <c r="C274" i="1"/>
  <c r="D274" i="1"/>
  <c r="E274" i="1"/>
  <c r="F274" i="1"/>
  <c r="G274" i="1"/>
  <c r="H274" i="1"/>
  <c r="I274" i="1"/>
  <c r="J274" i="1"/>
  <c r="M274" i="1"/>
  <c r="N274" i="1"/>
  <c r="O274" i="1"/>
  <c r="P274" i="1"/>
  <c r="Q274" i="1"/>
  <c r="R274" i="1"/>
  <c r="S274" i="1"/>
  <c r="T274" i="1"/>
  <c r="U274" i="1"/>
  <c r="A271" i="1"/>
  <c r="B271" i="1"/>
  <c r="C271" i="1"/>
  <c r="D271" i="1"/>
  <c r="E271" i="1"/>
  <c r="F271" i="1"/>
  <c r="G271" i="1"/>
  <c r="H271" i="1"/>
  <c r="I271" i="1"/>
  <c r="J271" i="1"/>
  <c r="M271" i="1"/>
  <c r="N271" i="1"/>
  <c r="O271" i="1"/>
  <c r="P271" i="1"/>
  <c r="Q271" i="1"/>
  <c r="R271" i="1"/>
  <c r="S271" i="1"/>
  <c r="T271" i="1"/>
  <c r="U271" i="1"/>
  <c r="A272" i="1"/>
  <c r="B272" i="1"/>
  <c r="C272" i="1"/>
  <c r="D272" i="1"/>
  <c r="E272" i="1"/>
  <c r="F272" i="1"/>
  <c r="G272" i="1"/>
  <c r="H272" i="1"/>
  <c r="I272" i="1"/>
  <c r="J272" i="1"/>
  <c r="M272" i="1"/>
  <c r="N272" i="1"/>
  <c r="O272" i="1"/>
  <c r="P272" i="1"/>
  <c r="Q272" i="1"/>
  <c r="R272" i="1"/>
  <c r="S272" i="1"/>
  <c r="T272" i="1"/>
  <c r="U272" i="1"/>
  <c r="A275" i="1"/>
  <c r="B275" i="1"/>
  <c r="C275" i="1"/>
  <c r="D275" i="1"/>
  <c r="E275" i="1"/>
  <c r="F275" i="1"/>
  <c r="G275" i="1"/>
  <c r="H275" i="1"/>
  <c r="I275" i="1"/>
  <c r="J275" i="1"/>
  <c r="M275" i="1"/>
  <c r="N275" i="1"/>
  <c r="O275" i="1"/>
  <c r="P275" i="1"/>
  <c r="Q275" i="1"/>
  <c r="R275" i="1"/>
  <c r="S275" i="1"/>
  <c r="T275" i="1"/>
  <c r="U275" i="1"/>
  <c r="A273" i="1"/>
  <c r="B273" i="1"/>
  <c r="C273" i="1"/>
  <c r="D273" i="1"/>
  <c r="E273" i="1"/>
  <c r="F273" i="1"/>
  <c r="G273" i="1"/>
  <c r="H273" i="1"/>
  <c r="I273" i="1"/>
  <c r="J273" i="1"/>
  <c r="M273" i="1"/>
  <c r="N273" i="1"/>
  <c r="O273" i="1"/>
  <c r="P273" i="1"/>
  <c r="Q273" i="1"/>
  <c r="R273" i="1"/>
  <c r="S273" i="1"/>
  <c r="T273" i="1"/>
  <c r="U273" i="1"/>
  <c r="A132" i="1"/>
  <c r="B132" i="1"/>
  <c r="C132" i="1"/>
  <c r="D132" i="1"/>
  <c r="E132" i="1"/>
  <c r="F132" i="1"/>
  <c r="G132" i="1"/>
  <c r="H132" i="1"/>
  <c r="I132" i="1"/>
  <c r="J132" i="1"/>
  <c r="M132" i="1"/>
  <c r="N132" i="1"/>
  <c r="O132" i="1"/>
  <c r="P132" i="1"/>
  <c r="Q132" i="1"/>
  <c r="R132" i="1"/>
  <c r="S132" i="1"/>
  <c r="T132" i="1"/>
  <c r="U132" i="1"/>
  <c r="A126" i="1"/>
  <c r="B126" i="1"/>
  <c r="C126" i="1"/>
  <c r="D126" i="1"/>
  <c r="E126" i="1"/>
  <c r="F126" i="1"/>
  <c r="G126" i="1"/>
  <c r="H126" i="1"/>
  <c r="I126" i="1"/>
  <c r="J126" i="1"/>
  <c r="M126" i="1"/>
  <c r="N126" i="1"/>
  <c r="O126" i="1"/>
  <c r="P126" i="1"/>
  <c r="Q126" i="1"/>
  <c r="R126" i="1"/>
  <c r="S126" i="1"/>
  <c r="T126" i="1"/>
  <c r="U126" i="1"/>
  <c r="A130" i="1"/>
  <c r="B130" i="1"/>
  <c r="C130" i="1"/>
  <c r="D130" i="1"/>
  <c r="E130" i="1"/>
  <c r="F130" i="1"/>
  <c r="G130" i="1"/>
  <c r="H130" i="1"/>
  <c r="I130" i="1"/>
  <c r="J130" i="1"/>
  <c r="M130" i="1"/>
  <c r="N130" i="1"/>
  <c r="O130" i="1"/>
  <c r="P130" i="1"/>
  <c r="Q130" i="1"/>
  <c r="R130" i="1"/>
  <c r="S130" i="1"/>
  <c r="T130" i="1"/>
  <c r="U130" i="1"/>
  <c r="A131" i="1"/>
  <c r="B131" i="1"/>
  <c r="C131" i="1"/>
  <c r="D131" i="1"/>
  <c r="E131" i="1"/>
  <c r="F131" i="1"/>
  <c r="G131" i="1"/>
  <c r="H131" i="1"/>
  <c r="I131" i="1"/>
  <c r="J131" i="1"/>
  <c r="M131" i="1"/>
  <c r="N131" i="1"/>
  <c r="O131" i="1"/>
  <c r="P131" i="1"/>
  <c r="Q131" i="1"/>
  <c r="R131" i="1"/>
  <c r="S131" i="1"/>
  <c r="T131" i="1"/>
  <c r="U131" i="1"/>
  <c r="A127" i="1"/>
  <c r="B127" i="1"/>
  <c r="C127" i="1"/>
  <c r="D127" i="1"/>
  <c r="E127" i="1"/>
  <c r="F127" i="1"/>
  <c r="G127" i="1"/>
  <c r="H127" i="1"/>
  <c r="I127" i="1"/>
  <c r="J127" i="1"/>
  <c r="M127" i="1"/>
  <c r="N127" i="1"/>
  <c r="O127" i="1"/>
  <c r="P127" i="1"/>
  <c r="Q127" i="1"/>
  <c r="R127" i="1"/>
  <c r="S127" i="1"/>
  <c r="T127" i="1"/>
  <c r="U127" i="1"/>
  <c r="A128" i="1"/>
  <c r="B128" i="1"/>
  <c r="C128" i="1"/>
  <c r="D128" i="1"/>
  <c r="E128" i="1"/>
  <c r="F128" i="1"/>
  <c r="G128" i="1"/>
  <c r="H128" i="1"/>
  <c r="I128" i="1"/>
  <c r="J128" i="1"/>
  <c r="M128" i="1"/>
  <c r="N128" i="1"/>
  <c r="O128" i="1"/>
  <c r="P128" i="1"/>
  <c r="Q128" i="1"/>
  <c r="R128" i="1"/>
  <c r="S128" i="1"/>
  <c r="T128" i="1"/>
  <c r="U128" i="1"/>
  <c r="A129" i="1"/>
  <c r="B129" i="1"/>
  <c r="C129" i="1"/>
  <c r="D129" i="1"/>
  <c r="E129" i="1"/>
  <c r="F129" i="1"/>
  <c r="G129" i="1"/>
  <c r="H129" i="1"/>
  <c r="I129" i="1"/>
  <c r="J129" i="1"/>
  <c r="M129" i="1"/>
  <c r="N129" i="1"/>
  <c r="O129" i="1"/>
  <c r="P129" i="1"/>
  <c r="Q129" i="1"/>
  <c r="R129" i="1"/>
  <c r="S129" i="1"/>
  <c r="T129" i="1"/>
  <c r="U129" i="1"/>
  <c r="A90" i="1"/>
  <c r="B90" i="1"/>
  <c r="C90" i="1"/>
  <c r="D90" i="1"/>
  <c r="E90" i="1"/>
  <c r="F90" i="1"/>
  <c r="G90" i="1"/>
  <c r="H90" i="1"/>
  <c r="I90" i="1"/>
  <c r="J90" i="1"/>
  <c r="M90" i="1"/>
  <c r="N90" i="1"/>
  <c r="O90" i="1"/>
  <c r="P90" i="1"/>
  <c r="Q90" i="1"/>
  <c r="R90" i="1"/>
  <c r="S90" i="1"/>
  <c r="T90" i="1"/>
  <c r="U90" i="1"/>
  <c r="A1793" i="1"/>
  <c r="B1793" i="1"/>
  <c r="C1793" i="1"/>
  <c r="D1793" i="1"/>
  <c r="E1793" i="1"/>
  <c r="F1793" i="1"/>
  <c r="G1793" i="1"/>
  <c r="H1793" i="1"/>
  <c r="I1793" i="1"/>
  <c r="J1793" i="1"/>
  <c r="M1793" i="1"/>
  <c r="N1793" i="1"/>
  <c r="O1793" i="1"/>
  <c r="P1793" i="1"/>
  <c r="Q1793" i="1"/>
  <c r="R1793" i="1"/>
  <c r="S1793" i="1"/>
  <c r="T1793" i="1"/>
  <c r="U1793" i="1"/>
  <c r="A1794" i="1"/>
  <c r="B1794" i="1"/>
  <c r="C1794" i="1"/>
  <c r="D1794" i="1"/>
  <c r="E1794" i="1"/>
  <c r="F1794" i="1"/>
  <c r="G1794" i="1"/>
  <c r="H1794" i="1"/>
  <c r="I1794" i="1"/>
  <c r="J1794" i="1"/>
  <c r="M1794" i="1"/>
  <c r="N1794" i="1"/>
  <c r="O1794" i="1"/>
  <c r="P1794" i="1"/>
  <c r="Q1794" i="1"/>
  <c r="R1794" i="1"/>
  <c r="S1794" i="1"/>
  <c r="T1794" i="1"/>
  <c r="U1794" i="1"/>
  <c r="A1795" i="1"/>
  <c r="B1795" i="1"/>
  <c r="C1795" i="1"/>
  <c r="D1795" i="1"/>
  <c r="E1795" i="1"/>
  <c r="F1795" i="1"/>
  <c r="G1795" i="1"/>
  <c r="H1795" i="1"/>
  <c r="I1795" i="1"/>
  <c r="J1795" i="1"/>
  <c r="M1795" i="1"/>
  <c r="N1795" i="1"/>
  <c r="O1795" i="1"/>
  <c r="P1795" i="1"/>
  <c r="Q1795" i="1"/>
  <c r="R1795" i="1"/>
  <c r="S1795" i="1"/>
  <c r="T1795" i="1"/>
  <c r="U1795" i="1"/>
  <c r="A1796" i="1"/>
  <c r="B1796" i="1"/>
  <c r="C1796" i="1"/>
  <c r="D1796" i="1"/>
  <c r="E1796" i="1"/>
  <c r="F1796" i="1"/>
  <c r="G1796" i="1"/>
  <c r="H1796" i="1"/>
  <c r="I1796" i="1"/>
  <c r="J1796" i="1"/>
  <c r="M1796" i="1"/>
  <c r="N1796" i="1"/>
  <c r="O1796" i="1"/>
  <c r="P1796" i="1"/>
  <c r="Q1796" i="1"/>
  <c r="R1796" i="1"/>
  <c r="S1796" i="1"/>
  <c r="T1796" i="1"/>
  <c r="U1796" i="1"/>
  <c r="A1797" i="1"/>
  <c r="B1797" i="1"/>
  <c r="C1797" i="1"/>
  <c r="D1797" i="1"/>
  <c r="E1797" i="1"/>
  <c r="F1797" i="1"/>
  <c r="G1797" i="1"/>
  <c r="H1797" i="1"/>
  <c r="I1797" i="1"/>
  <c r="J1797" i="1"/>
  <c r="M1797" i="1"/>
  <c r="N1797" i="1"/>
  <c r="O1797" i="1"/>
  <c r="P1797" i="1"/>
  <c r="Q1797" i="1"/>
  <c r="R1797" i="1"/>
  <c r="S1797" i="1"/>
  <c r="T1797" i="1"/>
  <c r="U1797" i="1"/>
  <c r="A1798" i="1"/>
  <c r="B1798" i="1"/>
  <c r="C1798" i="1"/>
  <c r="D1798" i="1"/>
  <c r="E1798" i="1"/>
  <c r="F1798" i="1"/>
  <c r="G1798" i="1"/>
  <c r="H1798" i="1"/>
  <c r="I1798" i="1"/>
  <c r="J1798" i="1"/>
  <c r="M1798" i="1"/>
  <c r="N1798" i="1"/>
  <c r="O1798" i="1"/>
  <c r="P1798" i="1"/>
  <c r="Q1798" i="1"/>
  <c r="R1798" i="1"/>
  <c r="S1798" i="1"/>
  <c r="T1798" i="1"/>
  <c r="U1798" i="1"/>
  <c r="A1727" i="1"/>
  <c r="B1727" i="1"/>
  <c r="C1727" i="1"/>
  <c r="D1727" i="1"/>
  <c r="E1727" i="1"/>
  <c r="F1727" i="1"/>
  <c r="G1727" i="1"/>
  <c r="H1727" i="1"/>
  <c r="I1727" i="1"/>
  <c r="J1727" i="1"/>
  <c r="M1727" i="1"/>
  <c r="N1727" i="1"/>
  <c r="O1727" i="1"/>
  <c r="P1727" i="1"/>
  <c r="Q1727" i="1"/>
  <c r="R1727" i="1"/>
  <c r="S1727" i="1"/>
  <c r="T1727" i="1"/>
  <c r="U1727" i="1"/>
  <c r="A1728" i="1"/>
  <c r="B1728" i="1"/>
  <c r="C1728" i="1"/>
  <c r="D1728" i="1"/>
  <c r="E1728" i="1"/>
  <c r="F1728" i="1"/>
  <c r="G1728" i="1"/>
  <c r="H1728" i="1"/>
  <c r="I1728" i="1"/>
  <c r="J1728" i="1"/>
  <c r="M1728" i="1"/>
  <c r="N1728" i="1"/>
  <c r="O1728" i="1"/>
  <c r="P1728" i="1"/>
  <c r="Q1728" i="1"/>
  <c r="R1728" i="1"/>
  <c r="S1728" i="1"/>
  <c r="T1728" i="1"/>
  <c r="U1728" i="1"/>
  <c r="A1729" i="1"/>
  <c r="B1729" i="1"/>
  <c r="C1729" i="1"/>
  <c r="D1729" i="1"/>
  <c r="E1729" i="1"/>
  <c r="F1729" i="1"/>
  <c r="G1729" i="1"/>
  <c r="H1729" i="1"/>
  <c r="I1729" i="1"/>
  <c r="J1729" i="1"/>
  <c r="M1729" i="1"/>
  <c r="N1729" i="1"/>
  <c r="O1729" i="1"/>
  <c r="P1729" i="1"/>
  <c r="Q1729" i="1"/>
  <c r="R1729" i="1"/>
  <c r="S1729" i="1"/>
  <c r="T1729" i="1"/>
  <c r="U1729" i="1"/>
  <c r="A1730" i="1"/>
  <c r="B1730" i="1"/>
  <c r="C1730" i="1"/>
  <c r="D1730" i="1"/>
  <c r="E1730" i="1"/>
  <c r="F1730" i="1"/>
  <c r="G1730" i="1"/>
  <c r="H1730" i="1"/>
  <c r="I1730" i="1"/>
  <c r="J1730" i="1"/>
  <c r="M1730" i="1"/>
  <c r="N1730" i="1"/>
  <c r="O1730" i="1"/>
  <c r="P1730" i="1"/>
  <c r="Q1730" i="1"/>
  <c r="R1730" i="1"/>
  <c r="S1730" i="1"/>
  <c r="T1730" i="1"/>
  <c r="U1730" i="1"/>
  <c r="A1657" i="1"/>
  <c r="B1657" i="1"/>
  <c r="C1657" i="1"/>
  <c r="D1657" i="1"/>
  <c r="E1657" i="1"/>
  <c r="F1657" i="1"/>
  <c r="G1657" i="1"/>
  <c r="H1657" i="1"/>
  <c r="I1657" i="1"/>
  <c r="J1657" i="1"/>
  <c r="M1657" i="1"/>
  <c r="N1657" i="1"/>
  <c r="O1657" i="1"/>
  <c r="P1657" i="1"/>
  <c r="Q1657" i="1"/>
  <c r="R1657" i="1"/>
  <c r="S1657" i="1"/>
  <c r="T1657" i="1"/>
  <c r="U1657" i="1"/>
  <c r="A1658" i="1"/>
  <c r="B1658" i="1"/>
  <c r="C1658" i="1"/>
  <c r="D1658" i="1"/>
  <c r="E1658" i="1"/>
  <c r="F1658" i="1"/>
  <c r="G1658" i="1"/>
  <c r="H1658" i="1"/>
  <c r="I1658" i="1"/>
  <c r="J1658" i="1"/>
  <c r="M1658" i="1"/>
  <c r="N1658" i="1"/>
  <c r="O1658" i="1"/>
  <c r="P1658" i="1"/>
  <c r="Q1658" i="1"/>
  <c r="R1658" i="1"/>
  <c r="S1658" i="1"/>
  <c r="T1658" i="1"/>
  <c r="U1658" i="1"/>
  <c r="A1659" i="1"/>
  <c r="B1659" i="1"/>
  <c r="C1659" i="1"/>
  <c r="D1659" i="1"/>
  <c r="E1659" i="1"/>
  <c r="F1659" i="1"/>
  <c r="G1659" i="1"/>
  <c r="H1659" i="1"/>
  <c r="I1659" i="1"/>
  <c r="J1659" i="1"/>
  <c r="M1659" i="1"/>
  <c r="N1659" i="1"/>
  <c r="O1659" i="1"/>
  <c r="P1659" i="1"/>
  <c r="Q1659" i="1"/>
  <c r="R1659" i="1"/>
  <c r="S1659" i="1"/>
  <c r="T1659" i="1"/>
  <c r="U1659" i="1"/>
  <c r="A1660" i="1"/>
  <c r="B1660" i="1"/>
  <c r="C1660" i="1"/>
  <c r="D1660" i="1"/>
  <c r="E1660" i="1"/>
  <c r="F1660" i="1"/>
  <c r="G1660" i="1"/>
  <c r="H1660" i="1"/>
  <c r="I1660" i="1"/>
  <c r="J1660" i="1"/>
  <c r="M1660" i="1"/>
  <c r="N1660" i="1"/>
  <c r="O1660" i="1"/>
  <c r="P1660" i="1"/>
  <c r="Q1660" i="1"/>
  <c r="R1660" i="1"/>
  <c r="S1660" i="1"/>
  <c r="T1660" i="1"/>
  <c r="U1660" i="1"/>
  <c r="A1661" i="1"/>
  <c r="B1661" i="1"/>
  <c r="C1661" i="1"/>
  <c r="D1661" i="1"/>
  <c r="E1661" i="1"/>
  <c r="F1661" i="1"/>
  <c r="G1661" i="1"/>
  <c r="H1661" i="1"/>
  <c r="I1661" i="1"/>
  <c r="J1661" i="1"/>
  <c r="M1661" i="1"/>
  <c r="N1661" i="1"/>
  <c r="O1661" i="1"/>
  <c r="P1661" i="1"/>
  <c r="Q1661" i="1"/>
  <c r="R1661" i="1"/>
  <c r="S1661" i="1"/>
  <c r="T1661" i="1"/>
  <c r="U1661" i="1"/>
  <c r="A1662" i="1"/>
  <c r="B1662" i="1"/>
  <c r="C1662" i="1"/>
  <c r="D1662" i="1"/>
  <c r="E1662" i="1"/>
  <c r="F1662" i="1"/>
  <c r="G1662" i="1"/>
  <c r="H1662" i="1"/>
  <c r="I1662" i="1"/>
  <c r="J1662" i="1"/>
  <c r="M1662" i="1"/>
  <c r="N1662" i="1"/>
  <c r="O1662" i="1"/>
  <c r="P1662" i="1"/>
  <c r="Q1662" i="1"/>
  <c r="R1662" i="1"/>
  <c r="S1662" i="1"/>
  <c r="U1662" i="1"/>
  <c r="A1593" i="1"/>
  <c r="B1593" i="1"/>
  <c r="C1593" i="1"/>
  <c r="D1593" i="1"/>
  <c r="E1593" i="1"/>
  <c r="F1593" i="1"/>
  <c r="G1593" i="1"/>
  <c r="H1593" i="1"/>
  <c r="I1593" i="1"/>
  <c r="J1593" i="1"/>
  <c r="M1593" i="1"/>
  <c r="N1593" i="1"/>
  <c r="O1593" i="1"/>
  <c r="P1593" i="1"/>
  <c r="Q1593" i="1"/>
  <c r="R1593" i="1"/>
  <c r="S1593" i="1"/>
  <c r="T1593" i="1"/>
  <c r="U1593" i="1"/>
  <c r="A1594" i="1"/>
  <c r="B1594" i="1"/>
  <c r="C1594" i="1"/>
  <c r="D1594" i="1"/>
  <c r="E1594" i="1"/>
  <c r="F1594" i="1"/>
  <c r="G1594" i="1"/>
  <c r="H1594" i="1"/>
  <c r="I1594" i="1"/>
  <c r="J1594" i="1"/>
  <c r="M1594" i="1"/>
  <c r="N1594" i="1"/>
  <c r="O1594" i="1"/>
  <c r="P1594" i="1"/>
  <c r="Q1594" i="1"/>
  <c r="R1594" i="1"/>
  <c r="S1594" i="1"/>
  <c r="T1594" i="1"/>
  <c r="U1594" i="1"/>
  <c r="A1595" i="1"/>
  <c r="B1595" i="1"/>
  <c r="C1595" i="1"/>
  <c r="D1595" i="1"/>
  <c r="E1595" i="1"/>
  <c r="F1595" i="1"/>
  <c r="G1595" i="1"/>
  <c r="H1595" i="1"/>
  <c r="I1595" i="1"/>
  <c r="J1595" i="1"/>
  <c r="M1595" i="1"/>
  <c r="N1595" i="1"/>
  <c r="O1595" i="1"/>
  <c r="P1595" i="1"/>
  <c r="Q1595" i="1"/>
  <c r="R1595" i="1"/>
  <c r="S1595" i="1"/>
  <c r="T1595" i="1"/>
  <c r="U1595" i="1"/>
  <c r="A1596" i="1"/>
  <c r="B1596" i="1"/>
  <c r="C1596" i="1"/>
  <c r="D1596" i="1"/>
  <c r="E1596" i="1"/>
  <c r="F1596" i="1"/>
  <c r="G1596" i="1"/>
  <c r="H1596" i="1"/>
  <c r="I1596" i="1"/>
  <c r="J1596" i="1"/>
  <c r="M1596" i="1"/>
  <c r="N1596" i="1"/>
  <c r="O1596" i="1"/>
  <c r="P1596" i="1"/>
  <c r="Q1596" i="1"/>
  <c r="R1596" i="1"/>
  <c r="S1596" i="1"/>
  <c r="T1596" i="1"/>
  <c r="U1596" i="1"/>
  <c r="A1597" i="1"/>
  <c r="B1597" i="1"/>
  <c r="C1597" i="1"/>
  <c r="D1597" i="1"/>
  <c r="E1597" i="1"/>
  <c r="F1597" i="1"/>
  <c r="G1597" i="1"/>
  <c r="H1597" i="1"/>
  <c r="I1597" i="1"/>
  <c r="J1597" i="1"/>
  <c r="M1597" i="1"/>
  <c r="N1597" i="1"/>
  <c r="O1597" i="1"/>
  <c r="P1597" i="1"/>
  <c r="Q1597" i="1"/>
  <c r="R1597" i="1"/>
  <c r="S1597" i="1"/>
  <c r="U1597" i="1"/>
  <c r="A1598" i="1"/>
  <c r="B1598" i="1"/>
  <c r="C1598" i="1"/>
  <c r="D1598" i="1"/>
  <c r="E1598" i="1"/>
  <c r="F1598" i="1"/>
  <c r="G1598" i="1"/>
  <c r="H1598" i="1"/>
  <c r="I1598" i="1"/>
  <c r="J1598" i="1"/>
  <c r="M1598" i="1"/>
  <c r="N1598" i="1"/>
  <c r="O1598" i="1"/>
  <c r="P1598" i="1"/>
  <c r="Q1598" i="1"/>
  <c r="R1598" i="1"/>
  <c r="S1598" i="1"/>
  <c r="T1598" i="1"/>
  <c r="U1598" i="1"/>
  <c r="A1342" i="1"/>
  <c r="B1342" i="1"/>
  <c r="C1342" i="1"/>
  <c r="D1342" i="1"/>
  <c r="E1342" i="1"/>
  <c r="F1342" i="1"/>
  <c r="G1342" i="1"/>
  <c r="H1342" i="1"/>
  <c r="I1342" i="1"/>
  <c r="J1342" i="1"/>
  <c r="M1342" i="1"/>
  <c r="N1342" i="1"/>
  <c r="O1342" i="1"/>
  <c r="Q1342" i="1"/>
  <c r="R1342" i="1"/>
  <c r="S1342" i="1"/>
  <c r="T1342" i="1"/>
  <c r="U1342" i="1"/>
  <c r="A1343" i="1"/>
  <c r="B1343" i="1"/>
  <c r="C1343" i="1"/>
  <c r="D1343" i="1"/>
  <c r="E1343" i="1"/>
  <c r="F1343" i="1"/>
  <c r="G1343" i="1"/>
  <c r="H1343" i="1"/>
  <c r="I1343" i="1"/>
  <c r="J1343" i="1"/>
  <c r="M1343" i="1"/>
  <c r="N1343" i="1"/>
  <c r="O1343" i="1"/>
  <c r="P1343" i="1"/>
  <c r="Q1343" i="1"/>
  <c r="R1343" i="1"/>
  <c r="S1343" i="1"/>
  <c r="T1343" i="1"/>
  <c r="U1343" i="1"/>
  <c r="A1344" i="1"/>
  <c r="B1344" i="1"/>
  <c r="C1344" i="1"/>
  <c r="D1344" i="1"/>
  <c r="E1344" i="1"/>
  <c r="F1344" i="1"/>
  <c r="G1344" i="1"/>
  <c r="H1344" i="1"/>
  <c r="I1344" i="1"/>
  <c r="J1344" i="1"/>
  <c r="M1344" i="1"/>
  <c r="N1344" i="1"/>
  <c r="O1344" i="1"/>
  <c r="P1344" i="1"/>
  <c r="Q1344" i="1"/>
  <c r="R1344" i="1"/>
  <c r="S1344" i="1"/>
  <c r="T1344" i="1"/>
  <c r="U1344" i="1"/>
  <c r="A1261" i="1"/>
  <c r="B1261" i="1"/>
  <c r="C1261" i="1"/>
  <c r="D1261" i="1"/>
  <c r="E1261" i="1"/>
  <c r="F1261" i="1"/>
  <c r="G1261" i="1"/>
  <c r="H1261" i="1"/>
  <c r="I1261" i="1"/>
  <c r="J1261" i="1"/>
  <c r="M1261" i="1"/>
  <c r="N1261" i="1"/>
  <c r="O1261" i="1"/>
  <c r="P1261" i="1"/>
  <c r="Q1261" i="1"/>
  <c r="R1261" i="1"/>
  <c r="S1261" i="1"/>
  <c r="T1261" i="1"/>
  <c r="U1261" i="1"/>
  <c r="A1260" i="1"/>
  <c r="B1260" i="1"/>
  <c r="C1260" i="1"/>
  <c r="D1260" i="1"/>
  <c r="E1260" i="1"/>
  <c r="F1260" i="1"/>
  <c r="G1260" i="1"/>
  <c r="H1260" i="1"/>
  <c r="I1260" i="1"/>
  <c r="J1260" i="1"/>
  <c r="M1260" i="1"/>
  <c r="N1260" i="1"/>
  <c r="O1260" i="1"/>
  <c r="P1260" i="1"/>
  <c r="Q1260" i="1"/>
  <c r="R1260" i="1"/>
  <c r="S1260" i="1"/>
  <c r="T1260" i="1"/>
  <c r="U1260" i="1"/>
  <c r="A1184" i="1"/>
  <c r="B1184" i="1"/>
  <c r="C1184" i="1"/>
  <c r="D1184" i="1"/>
  <c r="E1184" i="1"/>
  <c r="F1184" i="1"/>
  <c r="G1184" i="1"/>
  <c r="H1184" i="1"/>
  <c r="I1184" i="1"/>
  <c r="J1184" i="1"/>
  <c r="M1184" i="1"/>
  <c r="N1184" i="1"/>
  <c r="O1184" i="1"/>
  <c r="P1184" i="1"/>
  <c r="Q1184" i="1"/>
  <c r="R1184" i="1"/>
  <c r="S1184" i="1"/>
  <c r="T1184" i="1"/>
  <c r="U1184" i="1"/>
  <c r="A1185" i="1"/>
  <c r="B1185" i="1"/>
  <c r="C1185" i="1"/>
  <c r="D1185" i="1"/>
  <c r="E1185" i="1"/>
  <c r="F1185" i="1"/>
  <c r="G1185" i="1"/>
  <c r="H1185" i="1"/>
  <c r="I1185" i="1"/>
  <c r="J1185" i="1"/>
  <c r="M1185" i="1"/>
  <c r="N1185" i="1"/>
  <c r="O1185" i="1"/>
  <c r="P1185" i="1"/>
  <c r="Q1185" i="1"/>
  <c r="R1185" i="1"/>
  <c r="S1185" i="1"/>
  <c r="T1185" i="1"/>
  <c r="U1185" i="1"/>
  <c r="A1186" i="1"/>
  <c r="B1186" i="1"/>
  <c r="C1186" i="1"/>
  <c r="D1186" i="1"/>
  <c r="E1186" i="1"/>
  <c r="F1186" i="1"/>
  <c r="G1186" i="1"/>
  <c r="H1186" i="1"/>
  <c r="I1186" i="1"/>
  <c r="J1186" i="1"/>
  <c r="M1186" i="1"/>
  <c r="N1186" i="1"/>
  <c r="O1186" i="1"/>
  <c r="P1186" i="1"/>
  <c r="Q1186" i="1"/>
  <c r="R1186" i="1"/>
  <c r="S1186" i="1"/>
  <c r="T1186" i="1"/>
  <c r="U1186" i="1"/>
  <c r="A1187" i="1"/>
  <c r="B1187" i="1"/>
  <c r="C1187" i="1"/>
  <c r="D1187" i="1"/>
  <c r="E1187" i="1"/>
  <c r="F1187" i="1"/>
  <c r="G1187" i="1"/>
  <c r="H1187" i="1"/>
  <c r="I1187" i="1"/>
  <c r="J1187" i="1"/>
  <c r="M1187" i="1"/>
  <c r="N1187" i="1"/>
  <c r="O1187" i="1"/>
  <c r="P1187" i="1"/>
  <c r="Q1187" i="1"/>
  <c r="R1187" i="1"/>
  <c r="S1187" i="1"/>
  <c r="T1187" i="1"/>
  <c r="U1187" i="1"/>
  <c r="A1188" i="1"/>
  <c r="B1188" i="1"/>
  <c r="C1188" i="1"/>
  <c r="D1188" i="1"/>
  <c r="E1188" i="1"/>
  <c r="F1188" i="1"/>
  <c r="G1188" i="1"/>
  <c r="H1188" i="1"/>
  <c r="I1188" i="1"/>
  <c r="J1188" i="1"/>
  <c r="M1188" i="1"/>
  <c r="N1188" i="1"/>
  <c r="O1188" i="1"/>
  <c r="P1188" i="1"/>
  <c r="Q1188" i="1"/>
  <c r="R1188" i="1"/>
  <c r="S1188" i="1"/>
  <c r="T1188" i="1"/>
  <c r="U1188" i="1"/>
  <c r="A1189" i="1"/>
  <c r="B1189" i="1"/>
  <c r="C1189" i="1"/>
  <c r="D1189" i="1"/>
  <c r="E1189" i="1"/>
  <c r="F1189" i="1"/>
  <c r="G1189" i="1"/>
  <c r="H1189" i="1"/>
  <c r="I1189" i="1"/>
  <c r="J1189" i="1"/>
  <c r="M1189" i="1"/>
  <c r="N1189" i="1"/>
  <c r="O1189" i="1"/>
  <c r="P1189" i="1"/>
  <c r="Q1189" i="1"/>
  <c r="R1189" i="1"/>
  <c r="S1189" i="1"/>
  <c r="T1189" i="1"/>
  <c r="U1189" i="1"/>
  <c r="A1183" i="1"/>
  <c r="B1183" i="1"/>
  <c r="C1183" i="1"/>
  <c r="D1183" i="1"/>
  <c r="E1183" i="1"/>
  <c r="F1183" i="1"/>
  <c r="G1183" i="1"/>
  <c r="H1183" i="1"/>
  <c r="I1183" i="1"/>
  <c r="J1183" i="1"/>
  <c r="M1183" i="1"/>
  <c r="N1183" i="1"/>
  <c r="O1183" i="1"/>
  <c r="Q1183" i="1"/>
  <c r="R1183" i="1"/>
  <c r="S1183" i="1"/>
  <c r="T1183" i="1"/>
  <c r="U1183" i="1"/>
  <c r="A1156" i="1"/>
  <c r="B1156" i="1"/>
  <c r="C1156" i="1"/>
  <c r="D1156" i="1"/>
  <c r="E1156" i="1"/>
  <c r="F1156" i="1"/>
  <c r="G1156" i="1"/>
  <c r="H1156" i="1"/>
  <c r="I1156" i="1"/>
  <c r="J1156" i="1"/>
  <c r="M1156" i="1"/>
  <c r="N1156" i="1"/>
  <c r="O1156" i="1"/>
  <c r="P1156" i="1"/>
  <c r="Q1156" i="1"/>
  <c r="R1156" i="1"/>
  <c r="S1156" i="1"/>
  <c r="T1156" i="1"/>
  <c r="U1156" i="1"/>
  <c r="A1154" i="1"/>
  <c r="B1154" i="1"/>
  <c r="C1154" i="1"/>
  <c r="D1154" i="1"/>
  <c r="E1154" i="1"/>
  <c r="F1154" i="1"/>
  <c r="G1154" i="1"/>
  <c r="H1154" i="1"/>
  <c r="I1154" i="1"/>
  <c r="J1154" i="1"/>
  <c r="M1154" i="1"/>
  <c r="N1154" i="1"/>
  <c r="O1154" i="1"/>
  <c r="P1154" i="1"/>
  <c r="Q1154" i="1"/>
  <c r="R1154" i="1"/>
  <c r="S1154" i="1"/>
  <c r="T1154" i="1"/>
  <c r="U1154" i="1"/>
  <c r="A1153" i="1"/>
  <c r="B1153" i="1"/>
  <c r="C1153" i="1"/>
  <c r="D1153" i="1"/>
  <c r="E1153" i="1"/>
  <c r="F1153" i="1"/>
  <c r="G1153" i="1"/>
  <c r="H1153" i="1"/>
  <c r="I1153" i="1"/>
  <c r="J1153" i="1"/>
  <c r="M1153" i="1"/>
  <c r="N1153" i="1"/>
  <c r="O1153" i="1"/>
  <c r="Q1153" i="1"/>
  <c r="R1153" i="1"/>
  <c r="S1153" i="1"/>
  <c r="T1153" i="1"/>
  <c r="U1153" i="1"/>
  <c r="A1157" i="1"/>
  <c r="B1157" i="1"/>
  <c r="C1157" i="1"/>
  <c r="D1157" i="1"/>
  <c r="E1157" i="1"/>
  <c r="F1157" i="1"/>
  <c r="G1157" i="1"/>
  <c r="H1157" i="1"/>
  <c r="I1157" i="1"/>
  <c r="J1157" i="1"/>
  <c r="M1157" i="1"/>
  <c r="N1157" i="1"/>
  <c r="O1157" i="1"/>
  <c r="P1157" i="1"/>
  <c r="Q1157" i="1"/>
  <c r="R1157" i="1"/>
  <c r="S1157" i="1"/>
  <c r="T1157" i="1"/>
  <c r="U1157" i="1"/>
  <c r="A1155" i="1"/>
  <c r="B1155" i="1"/>
  <c r="C1155" i="1"/>
  <c r="D1155" i="1"/>
  <c r="E1155" i="1"/>
  <c r="F1155" i="1"/>
  <c r="G1155" i="1"/>
  <c r="H1155" i="1"/>
  <c r="I1155" i="1"/>
  <c r="J1155" i="1"/>
  <c r="M1155" i="1"/>
  <c r="N1155" i="1"/>
  <c r="O1155" i="1"/>
  <c r="P1155" i="1"/>
  <c r="Q1155" i="1"/>
  <c r="R1155" i="1"/>
  <c r="S1155" i="1"/>
  <c r="T1155" i="1"/>
  <c r="U1155" i="1"/>
  <c r="A1105" i="1"/>
  <c r="B1105" i="1"/>
  <c r="C1105" i="1"/>
  <c r="D1105" i="1"/>
  <c r="E1105" i="1"/>
  <c r="F1105" i="1"/>
  <c r="G1105" i="1"/>
  <c r="H1105" i="1"/>
  <c r="I1105" i="1"/>
  <c r="J1105" i="1"/>
  <c r="M1105" i="1"/>
  <c r="N1105" i="1"/>
  <c r="O1105" i="1"/>
  <c r="P1105" i="1"/>
  <c r="Q1105" i="1"/>
  <c r="R1105" i="1"/>
  <c r="S1105" i="1"/>
  <c r="T1105" i="1"/>
  <c r="U1105" i="1"/>
  <c r="A1106" i="1"/>
  <c r="B1106" i="1"/>
  <c r="C1106" i="1"/>
  <c r="D1106" i="1"/>
  <c r="E1106" i="1"/>
  <c r="F1106" i="1"/>
  <c r="G1106" i="1"/>
  <c r="H1106" i="1"/>
  <c r="I1106" i="1"/>
  <c r="J1106" i="1"/>
  <c r="M1106" i="1"/>
  <c r="N1106" i="1"/>
  <c r="O1106" i="1"/>
  <c r="P1106" i="1"/>
  <c r="Q1106" i="1"/>
  <c r="R1106" i="1"/>
  <c r="S1106" i="1"/>
  <c r="T1106" i="1"/>
  <c r="U1106" i="1"/>
  <c r="A1107" i="1"/>
  <c r="B1107" i="1"/>
  <c r="C1107" i="1"/>
  <c r="D1107" i="1"/>
  <c r="E1107" i="1"/>
  <c r="F1107" i="1"/>
  <c r="G1107" i="1"/>
  <c r="H1107" i="1"/>
  <c r="I1107" i="1"/>
  <c r="J1107" i="1"/>
  <c r="M1107" i="1"/>
  <c r="N1107" i="1"/>
  <c r="O1107" i="1"/>
  <c r="P1107" i="1"/>
  <c r="Q1107" i="1"/>
  <c r="R1107" i="1"/>
  <c r="S1107" i="1"/>
  <c r="T1107" i="1"/>
  <c r="U1107" i="1"/>
  <c r="A1108" i="1"/>
  <c r="B1108" i="1"/>
  <c r="C1108" i="1"/>
  <c r="D1108" i="1"/>
  <c r="E1108" i="1"/>
  <c r="F1108" i="1"/>
  <c r="G1108" i="1"/>
  <c r="H1108" i="1"/>
  <c r="I1108" i="1"/>
  <c r="J1108" i="1"/>
  <c r="M1108" i="1"/>
  <c r="N1108" i="1"/>
  <c r="O1108" i="1"/>
  <c r="P1108" i="1"/>
  <c r="Q1108" i="1"/>
  <c r="R1108" i="1"/>
  <c r="S1108" i="1"/>
  <c r="T1108" i="1"/>
  <c r="U1108" i="1"/>
  <c r="A1109" i="1"/>
  <c r="B1109" i="1"/>
  <c r="C1109" i="1"/>
  <c r="D1109" i="1"/>
  <c r="E1109" i="1"/>
  <c r="F1109" i="1"/>
  <c r="G1109" i="1"/>
  <c r="H1109" i="1"/>
  <c r="I1109" i="1"/>
  <c r="J1109" i="1"/>
  <c r="M1109" i="1"/>
  <c r="N1109" i="1"/>
  <c r="O1109" i="1"/>
  <c r="P1109" i="1"/>
  <c r="Q1109" i="1"/>
  <c r="R1109" i="1"/>
  <c r="S1109" i="1"/>
  <c r="T1109" i="1"/>
  <c r="U1109" i="1"/>
  <c r="A1110" i="1"/>
  <c r="B1110" i="1"/>
  <c r="C1110" i="1"/>
  <c r="D1110" i="1"/>
  <c r="E1110" i="1"/>
  <c r="F1110" i="1"/>
  <c r="G1110" i="1"/>
  <c r="H1110" i="1"/>
  <c r="I1110" i="1"/>
  <c r="J1110" i="1"/>
  <c r="M1110" i="1"/>
  <c r="N1110" i="1"/>
  <c r="O1110" i="1"/>
  <c r="P1110" i="1"/>
  <c r="Q1110" i="1"/>
  <c r="R1110" i="1"/>
  <c r="S1110" i="1"/>
  <c r="T1110" i="1"/>
  <c r="U1110" i="1"/>
  <c r="A1112" i="1"/>
  <c r="B1112" i="1"/>
  <c r="C1112" i="1"/>
  <c r="D1112" i="1"/>
  <c r="E1112" i="1"/>
  <c r="F1112" i="1"/>
  <c r="G1112" i="1"/>
  <c r="H1112" i="1"/>
  <c r="I1112" i="1"/>
  <c r="J1112" i="1"/>
  <c r="M1112" i="1"/>
  <c r="N1112" i="1"/>
  <c r="O1112" i="1"/>
  <c r="P1112" i="1"/>
  <c r="Q1112" i="1"/>
  <c r="R1112" i="1"/>
  <c r="S1112" i="1"/>
  <c r="T1112" i="1"/>
  <c r="U1112" i="1"/>
  <c r="A1111" i="1"/>
  <c r="B1111" i="1"/>
  <c r="C1111" i="1"/>
  <c r="D1111" i="1"/>
  <c r="E1111" i="1"/>
  <c r="F1111" i="1"/>
  <c r="G1111" i="1"/>
  <c r="H1111" i="1"/>
  <c r="I1111" i="1"/>
  <c r="J1111" i="1"/>
  <c r="M1111" i="1"/>
  <c r="N1111" i="1"/>
  <c r="O1111" i="1"/>
  <c r="P1111" i="1"/>
  <c r="Q1111" i="1"/>
  <c r="R1111" i="1"/>
  <c r="S1111" i="1"/>
  <c r="T1111" i="1"/>
  <c r="U1111" i="1"/>
  <c r="A944" i="1"/>
  <c r="B944" i="1"/>
  <c r="C944" i="1"/>
  <c r="D944" i="1"/>
  <c r="E944" i="1"/>
  <c r="F944" i="1"/>
  <c r="G944" i="1"/>
  <c r="H944" i="1"/>
  <c r="I944" i="1"/>
  <c r="J944" i="1"/>
  <c r="M944" i="1"/>
  <c r="N944" i="1"/>
  <c r="O944" i="1"/>
  <c r="P944" i="1"/>
  <c r="Q944" i="1"/>
  <c r="R944" i="1"/>
  <c r="S944" i="1"/>
  <c r="T944" i="1"/>
  <c r="U944" i="1"/>
  <c r="A890" i="1"/>
  <c r="B890" i="1"/>
  <c r="C890" i="1"/>
  <c r="D890" i="1"/>
  <c r="E890" i="1"/>
  <c r="F890" i="1"/>
  <c r="G890" i="1"/>
  <c r="H890" i="1"/>
  <c r="I890" i="1"/>
  <c r="J890" i="1"/>
  <c r="M890" i="1"/>
  <c r="N890" i="1"/>
  <c r="O890" i="1"/>
  <c r="P890" i="1"/>
  <c r="Q890" i="1"/>
  <c r="R890" i="1"/>
  <c r="S890" i="1"/>
  <c r="T890" i="1"/>
  <c r="U890" i="1"/>
  <c r="A801" i="1"/>
  <c r="B801" i="1"/>
  <c r="C801" i="1"/>
  <c r="D801" i="1"/>
  <c r="E801" i="1"/>
  <c r="F801" i="1"/>
  <c r="G801" i="1"/>
  <c r="H801" i="1"/>
  <c r="I801" i="1"/>
  <c r="J801" i="1"/>
  <c r="M801" i="1"/>
  <c r="N801" i="1"/>
  <c r="O801" i="1"/>
  <c r="P801" i="1"/>
  <c r="Q801" i="1"/>
  <c r="R801" i="1"/>
  <c r="S801" i="1"/>
  <c r="T801" i="1"/>
  <c r="U801" i="1"/>
  <c r="A802" i="1"/>
  <c r="B802" i="1"/>
  <c r="C802" i="1"/>
  <c r="D802" i="1"/>
  <c r="E802" i="1"/>
  <c r="F802" i="1"/>
  <c r="G802" i="1"/>
  <c r="H802" i="1"/>
  <c r="I802" i="1"/>
  <c r="J802" i="1"/>
  <c r="M802" i="1"/>
  <c r="N802" i="1"/>
  <c r="O802" i="1"/>
  <c r="P802" i="1"/>
  <c r="Q802" i="1"/>
  <c r="R802" i="1"/>
  <c r="S802" i="1"/>
  <c r="T802" i="1"/>
  <c r="U802" i="1"/>
  <c r="A803" i="1"/>
  <c r="B803" i="1"/>
  <c r="C803" i="1"/>
  <c r="D803" i="1"/>
  <c r="E803" i="1"/>
  <c r="F803" i="1"/>
  <c r="G803" i="1"/>
  <c r="H803" i="1"/>
  <c r="I803" i="1"/>
  <c r="J803" i="1"/>
  <c r="M803" i="1"/>
  <c r="N803" i="1"/>
  <c r="O803" i="1"/>
  <c r="P803" i="1"/>
  <c r="Q803" i="1"/>
  <c r="R803" i="1"/>
  <c r="S803" i="1"/>
  <c r="T803" i="1"/>
  <c r="U803" i="1"/>
  <c r="A804" i="1"/>
  <c r="B804" i="1"/>
  <c r="C804" i="1"/>
  <c r="D804" i="1"/>
  <c r="E804" i="1"/>
  <c r="F804" i="1"/>
  <c r="G804" i="1"/>
  <c r="H804" i="1"/>
  <c r="I804" i="1"/>
  <c r="J804" i="1"/>
  <c r="M804" i="1"/>
  <c r="N804" i="1"/>
  <c r="O804" i="1"/>
  <c r="P804" i="1"/>
  <c r="Q804" i="1"/>
  <c r="R804" i="1"/>
  <c r="S804" i="1"/>
  <c r="T804" i="1"/>
  <c r="U804" i="1"/>
  <c r="A805" i="1"/>
  <c r="B805" i="1"/>
  <c r="C805" i="1"/>
  <c r="D805" i="1"/>
  <c r="E805" i="1"/>
  <c r="F805" i="1"/>
  <c r="G805" i="1"/>
  <c r="H805" i="1"/>
  <c r="I805" i="1"/>
  <c r="J805" i="1"/>
  <c r="M805" i="1"/>
  <c r="N805" i="1"/>
  <c r="O805" i="1"/>
  <c r="P805" i="1"/>
  <c r="Q805" i="1"/>
  <c r="R805" i="1"/>
  <c r="S805" i="1"/>
  <c r="T805" i="1"/>
  <c r="U805" i="1"/>
  <c r="A752" i="1"/>
  <c r="B752" i="1"/>
  <c r="C752" i="1"/>
  <c r="D752" i="1"/>
  <c r="E752" i="1"/>
  <c r="F752" i="1"/>
  <c r="G752" i="1"/>
  <c r="H752" i="1"/>
  <c r="I752" i="1"/>
  <c r="J752" i="1"/>
  <c r="M752" i="1"/>
  <c r="N752" i="1"/>
  <c r="O752" i="1"/>
  <c r="P752" i="1"/>
  <c r="Q752" i="1"/>
  <c r="R752" i="1"/>
  <c r="S752" i="1"/>
  <c r="T752" i="1"/>
  <c r="U752" i="1"/>
  <c r="A714" i="1"/>
  <c r="B714" i="1"/>
  <c r="C714" i="1"/>
  <c r="D714" i="1"/>
  <c r="E714" i="1"/>
  <c r="F714" i="1"/>
  <c r="G714" i="1"/>
  <c r="H714" i="1"/>
  <c r="I714" i="1"/>
  <c r="J714" i="1"/>
  <c r="M714" i="1"/>
  <c r="N714" i="1"/>
  <c r="O714" i="1"/>
  <c r="P714" i="1"/>
  <c r="Q714" i="1"/>
  <c r="R714" i="1"/>
  <c r="S714" i="1"/>
  <c r="T714" i="1"/>
  <c r="U714" i="1"/>
  <c r="A715" i="1"/>
  <c r="B715" i="1"/>
  <c r="C715" i="1"/>
  <c r="D715" i="1"/>
  <c r="E715" i="1"/>
  <c r="F715" i="1"/>
  <c r="G715" i="1"/>
  <c r="H715" i="1"/>
  <c r="I715" i="1"/>
  <c r="J715" i="1"/>
  <c r="M715" i="1"/>
  <c r="N715" i="1"/>
  <c r="O715" i="1"/>
  <c r="P715" i="1"/>
  <c r="Q715" i="1"/>
  <c r="R715" i="1"/>
  <c r="S715" i="1"/>
  <c r="T715" i="1"/>
  <c r="U715" i="1"/>
  <c r="A719" i="1"/>
  <c r="B719" i="1"/>
  <c r="C719" i="1"/>
  <c r="D719" i="1"/>
  <c r="E719" i="1"/>
  <c r="F719" i="1"/>
  <c r="G719" i="1"/>
  <c r="H719" i="1"/>
  <c r="I719" i="1"/>
  <c r="J719" i="1"/>
  <c r="M719" i="1"/>
  <c r="N719" i="1"/>
  <c r="O719" i="1"/>
  <c r="P719" i="1"/>
  <c r="Q719" i="1"/>
  <c r="R719" i="1"/>
  <c r="S719" i="1"/>
  <c r="T719" i="1"/>
  <c r="U719" i="1"/>
  <c r="A716" i="1"/>
  <c r="B716" i="1"/>
  <c r="C716" i="1"/>
  <c r="D716" i="1"/>
  <c r="E716" i="1"/>
  <c r="F716" i="1"/>
  <c r="G716" i="1"/>
  <c r="H716" i="1"/>
  <c r="I716" i="1"/>
  <c r="J716" i="1"/>
  <c r="M716" i="1"/>
  <c r="N716" i="1"/>
  <c r="O716" i="1"/>
  <c r="P716" i="1"/>
  <c r="Q716" i="1"/>
  <c r="R716" i="1"/>
  <c r="S716" i="1"/>
  <c r="T716" i="1"/>
  <c r="U716" i="1"/>
  <c r="A717" i="1"/>
  <c r="B717" i="1"/>
  <c r="C717" i="1"/>
  <c r="D717" i="1"/>
  <c r="E717" i="1"/>
  <c r="F717" i="1"/>
  <c r="G717" i="1"/>
  <c r="H717" i="1"/>
  <c r="I717" i="1"/>
  <c r="J717" i="1"/>
  <c r="M717" i="1"/>
  <c r="N717" i="1"/>
  <c r="O717" i="1"/>
  <c r="P717" i="1"/>
  <c r="Q717" i="1"/>
  <c r="R717" i="1"/>
  <c r="S717" i="1"/>
  <c r="T717" i="1"/>
  <c r="U717" i="1"/>
  <c r="A718" i="1"/>
  <c r="B718" i="1"/>
  <c r="C718" i="1"/>
  <c r="D718" i="1"/>
  <c r="E718" i="1"/>
  <c r="F718" i="1"/>
  <c r="G718" i="1"/>
  <c r="H718" i="1"/>
  <c r="I718" i="1"/>
  <c r="J718" i="1"/>
  <c r="M718" i="1"/>
  <c r="N718" i="1"/>
  <c r="O718" i="1"/>
  <c r="P718" i="1"/>
  <c r="Q718" i="1"/>
  <c r="R718" i="1"/>
  <c r="S718" i="1"/>
  <c r="T718" i="1"/>
  <c r="U718" i="1"/>
  <c r="A648" i="1"/>
  <c r="B648" i="1"/>
  <c r="C648" i="1"/>
  <c r="D648" i="1"/>
  <c r="E648" i="1"/>
  <c r="F648" i="1"/>
  <c r="G648" i="1"/>
  <c r="H648" i="1"/>
  <c r="I648" i="1"/>
  <c r="J648" i="1"/>
  <c r="M648" i="1"/>
  <c r="N648" i="1"/>
  <c r="O648" i="1"/>
  <c r="P648" i="1"/>
  <c r="Q648" i="1"/>
  <c r="R648" i="1"/>
  <c r="S648" i="1"/>
  <c r="T648" i="1"/>
  <c r="U648" i="1"/>
  <c r="A649" i="1"/>
  <c r="B649" i="1"/>
  <c r="C649" i="1"/>
  <c r="D649" i="1"/>
  <c r="E649" i="1"/>
  <c r="F649" i="1"/>
  <c r="G649" i="1"/>
  <c r="H649" i="1"/>
  <c r="I649" i="1"/>
  <c r="J649" i="1"/>
  <c r="M649" i="1"/>
  <c r="N649" i="1"/>
  <c r="O649" i="1"/>
  <c r="P649" i="1"/>
  <c r="Q649" i="1"/>
  <c r="R649" i="1"/>
  <c r="S649" i="1"/>
  <c r="T649" i="1"/>
  <c r="U649" i="1"/>
  <c r="A650" i="1"/>
  <c r="B650" i="1"/>
  <c r="C650" i="1"/>
  <c r="D650" i="1"/>
  <c r="E650" i="1"/>
  <c r="F650" i="1"/>
  <c r="G650" i="1"/>
  <c r="H650" i="1"/>
  <c r="I650" i="1"/>
  <c r="J650" i="1"/>
  <c r="M650" i="1"/>
  <c r="N650" i="1"/>
  <c r="O650" i="1"/>
  <c r="P650" i="1"/>
  <c r="Q650" i="1"/>
  <c r="R650" i="1"/>
  <c r="S650" i="1"/>
  <c r="T650" i="1"/>
  <c r="U650" i="1"/>
  <c r="A651" i="1"/>
  <c r="B651" i="1"/>
  <c r="C651" i="1"/>
  <c r="D651" i="1"/>
  <c r="E651" i="1"/>
  <c r="F651" i="1"/>
  <c r="G651" i="1"/>
  <c r="H651" i="1"/>
  <c r="I651" i="1"/>
  <c r="J651" i="1"/>
  <c r="M651" i="1"/>
  <c r="N651" i="1"/>
  <c r="O651" i="1"/>
  <c r="P651" i="1"/>
  <c r="Q651" i="1"/>
  <c r="R651" i="1"/>
  <c r="S651" i="1"/>
  <c r="T651" i="1"/>
  <c r="U651" i="1"/>
  <c r="A464" i="1"/>
  <c r="B464" i="1"/>
  <c r="C464" i="1"/>
  <c r="D464" i="1"/>
  <c r="E464" i="1"/>
  <c r="F464" i="1"/>
  <c r="G464" i="1"/>
  <c r="H464" i="1"/>
  <c r="I464" i="1"/>
  <c r="J464" i="1"/>
  <c r="M464" i="1"/>
  <c r="N464" i="1"/>
  <c r="O464" i="1"/>
  <c r="P464" i="1"/>
  <c r="Q464" i="1"/>
  <c r="R464" i="1"/>
  <c r="S464" i="1"/>
  <c r="T464" i="1"/>
  <c r="U464" i="1"/>
  <c r="A469" i="1"/>
  <c r="B469" i="1"/>
  <c r="C469" i="1"/>
  <c r="D469" i="1"/>
  <c r="E469" i="1"/>
  <c r="F469" i="1"/>
  <c r="G469" i="1"/>
  <c r="H469" i="1"/>
  <c r="I469" i="1"/>
  <c r="J469" i="1"/>
  <c r="M469" i="1"/>
  <c r="N469" i="1"/>
  <c r="O469" i="1"/>
  <c r="P469" i="1"/>
  <c r="Q469" i="1"/>
  <c r="R469" i="1"/>
  <c r="S469" i="1"/>
  <c r="T469" i="1"/>
  <c r="U469" i="1"/>
  <c r="A465" i="1"/>
  <c r="B465" i="1"/>
  <c r="C465" i="1"/>
  <c r="D465" i="1"/>
  <c r="E465" i="1"/>
  <c r="F465" i="1"/>
  <c r="G465" i="1"/>
  <c r="H465" i="1"/>
  <c r="I465" i="1"/>
  <c r="J465" i="1"/>
  <c r="M465" i="1"/>
  <c r="N465" i="1"/>
  <c r="O465" i="1"/>
  <c r="P465" i="1"/>
  <c r="Q465" i="1"/>
  <c r="R465" i="1"/>
  <c r="S465" i="1"/>
  <c r="T465" i="1"/>
  <c r="U465" i="1"/>
  <c r="A466" i="1"/>
  <c r="B466" i="1"/>
  <c r="C466" i="1"/>
  <c r="D466" i="1"/>
  <c r="E466" i="1"/>
  <c r="F466" i="1"/>
  <c r="G466" i="1"/>
  <c r="H466" i="1"/>
  <c r="I466" i="1"/>
  <c r="J466" i="1"/>
  <c r="M466" i="1"/>
  <c r="N466" i="1"/>
  <c r="O466" i="1"/>
  <c r="P466" i="1"/>
  <c r="Q466" i="1"/>
  <c r="R466" i="1"/>
  <c r="S466" i="1"/>
  <c r="U466" i="1"/>
  <c r="A467" i="1"/>
  <c r="B467" i="1"/>
  <c r="C467" i="1"/>
  <c r="D467" i="1"/>
  <c r="E467" i="1"/>
  <c r="F467" i="1"/>
  <c r="G467" i="1"/>
  <c r="H467" i="1"/>
  <c r="I467" i="1"/>
  <c r="J467" i="1"/>
  <c r="M467" i="1"/>
  <c r="N467" i="1"/>
  <c r="O467" i="1"/>
  <c r="P467" i="1"/>
  <c r="Q467" i="1"/>
  <c r="R467" i="1"/>
  <c r="S467" i="1"/>
  <c r="T467" i="1"/>
  <c r="U467" i="1"/>
  <c r="A468" i="1"/>
  <c r="B468" i="1"/>
  <c r="C468" i="1"/>
  <c r="D468" i="1"/>
  <c r="E468" i="1"/>
  <c r="F468" i="1"/>
  <c r="G468" i="1"/>
  <c r="H468" i="1"/>
  <c r="I468" i="1"/>
  <c r="J468" i="1"/>
  <c r="M468" i="1"/>
  <c r="N468" i="1"/>
  <c r="O468" i="1"/>
  <c r="P468" i="1"/>
  <c r="Q468" i="1"/>
  <c r="R468" i="1"/>
  <c r="S468" i="1"/>
  <c r="T468" i="1"/>
  <c r="U468" i="1"/>
  <c r="A392" i="1"/>
  <c r="B392" i="1"/>
  <c r="C392" i="1"/>
  <c r="D392" i="1"/>
  <c r="E392" i="1"/>
  <c r="F392" i="1"/>
  <c r="G392" i="1"/>
  <c r="H392" i="1"/>
  <c r="I392" i="1"/>
  <c r="J392" i="1"/>
  <c r="M392" i="1"/>
  <c r="N392" i="1"/>
  <c r="O392" i="1"/>
  <c r="P392" i="1"/>
  <c r="Q392" i="1"/>
  <c r="R392" i="1"/>
  <c r="S392" i="1"/>
  <c r="T392" i="1"/>
  <c r="U392" i="1"/>
  <c r="A309" i="1"/>
  <c r="B309" i="1"/>
  <c r="C309" i="1"/>
  <c r="D309" i="1"/>
  <c r="E309" i="1"/>
  <c r="F309" i="1"/>
  <c r="G309" i="1"/>
  <c r="H309" i="1"/>
  <c r="I309" i="1"/>
  <c r="J309" i="1"/>
  <c r="M309" i="1"/>
  <c r="N309" i="1"/>
  <c r="O309" i="1"/>
  <c r="P309" i="1"/>
  <c r="Q309" i="1"/>
  <c r="R309" i="1"/>
  <c r="S309" i="1"/>
  <c r="T309" i="1"/>
  <c r="U309" i="1"/>
  <c r="A310" i="1"/>
  <c r="B310" i="1"/>
  <c r="C310" i="1"/>
  <c r="D310" i="1"/>
  <c r="E310" i="1"/>
  <c r="F310" i="1"/>
  <c r="G310" i="1"/>
  <c r="H310" i="1"/>
  <c r="I310" i="1"/>
  <c r="J310" i="1"/>
  <c r="M310" i="1"/>
  <c r="N310" i="1"/>
  <c r="O310" i="1"/>
  <c r="P310" i="1"/>
  <c r="Q310" i="1"/>
  <c r="R310" i="1"/>
  <c r="S310" i="1"/>
  <c r="T310" i="1"/>
  <c r="U310" i="1"/>
  <c r="A311" i="1"/>
  <c r="B311" i="1"/>
  <c r="C311" i="1"/>
  <c r="D311" i="1"/>
  <c r="E311" i="1"/>
  <c r="F311" i="1"/>
  <c r="G311" i="1"/>
  <c r="H311" i="1"/>
  <c r="I311" i="1"/>
  <c r="J311" i="1"/>
  <c r="M311" i="1"/>
  <c r="N311" i="1"/>
  <c r="O311" i="1"/>
  <c r="P311" i="1"/>
  <c r="Q311" i="1"/>
  <c r="R311" i="1"/>
  <c r="S311" i="1"/>
  <c r="T311" i="1"/>
  <c r="U311" i="1"/>
  <c r="A312" i="1"/>
  <c r="B312" i="1"/>
  <c r="C312" i="1"/>
  <c r="D312" i="1"/>
  <c r="E312" i="1"/>
  <c r="F312" i="1"/>
  <c r="G312" i="1"/>
  <c r="H312" i="1"/>
  <c r="I312" i="1"/>
  <c r="J312" i="1"/>
  <c r="M312" i="1"/>
  <c r="N312" i="1"/>
  <c r="O312" i="1"/>
  <c r="P312" i="1"/>
  <c r="Q312" i="1"/>
  <c r="R312" i="1"/>
  <c r="S312" i="1"/>
  <c r="T312" i="1"/>
  <c r="U312" i="1"/>
  <c r="A313" i="1"/>
  <c r="B313" i="1"/>
  <c r="C313" i="1"/>
  <c r="D313" i="1"/>
  <c r="E313" i="1"/>
  <c r="F313" i="1"/>
  <c r="G313" i="1"/>
  <c r="H313" i="1"/>
  <c r="I313" i="1"/>
  <c r="J313" i="1"/>
  <c r="M313" i="1"/>
  <c r="N313" i="1"/>
  <c r="O313" i="1"/>
  <c r="P313" i="1"/>
  <c r="Q313" i="1"/>
  <c r="R313" i="1"/>
  <c r="S313" i="1"/>
  <c r="T313" i="1"/>
  <c r="U313" i="1"/>
  <c r="A267" i="1"/>
  <c r="B267" i="1"/>
  <c r="C267" i="1"/>
  <c r="D267" i="1"/>
  <c r="E267" i="1"/>
  <c r="F267" i="1"/>
  <c r="G267" i="1"/>
  <c r="H267" i="1"/>
  <c r="I267" i="1"/>
  <c r="J267" i="1"/>
  <c r="M267" i="1"/>
  <c r="N267" i="1"/>
  <c r="O267" i="1"/>
  <c r="P267" i="1"/>
  <c r="Q267" i="1"/>
  <c r="R267" i="1"/>
  <c r="S267" i="1"/>
  <c r="T267" i="1"/>
  <c r="U267" i="1"/>
  <c r="A261" i="1"/>
  <c r="B261" i="1"/>
  <c r="C261" i="1"/>
  <c r="D261" i="1"/>
  <c r="E261" i="1"/>
  <c r="F261" i="1"/>
  <c r="G261" i="1"/>
  <c r="H261" i="1"/>
  <c r="I261" i="1"/>
  <c r="J261" i="1"/>
  <c r="M261" i="1"/>
  <c r="N261" i="1"/>
  <c r="O261" i="1"/>
  <c r="P261" i="1"/>
  <c r="Q261" i="1"/>
  <c r="R261" i="1"/>
  <c r="S261" i="1"/>
  <c r="T261" i="1"/>
  <c r="U261" i="1"/>
  <c r="A262" i="1"/>
  <c r="B262" i="1"/>
  <c r="C262" i="1"/>
  <c r="D262" i="1"/>
  <c r="E262" i="1"/>
  <c r="F262" i="1"/>
  <c r="G262" i="1"/>
  <c r="H262" i="1"/>
  <c r="I262" i="1"/>
  <c r="J262" i="1"/>
  <c r="M262" i="1"/>
  <c r="N262" i="1"/>
  <c r="O262" i="1"/>
  <c r="P262" i="1"/>
  <c r="Q262" i="1"/>
  <c r="R262" i="1"/>
  <c r="S262" i="1"/>
  <c r="T262" i="1"/>
  <c r="U262" i="1"/>
  <c r="A263" i="1"/>
  <c r="B263" i="1"/>
  <c r="C263" i="1"/>
  <c r="D263" i="1"/>
  <c r="E263" i="1"/>
  <c r="F263" i="1"/>
  <c r="G263" i="1"/>
  <c r="H263" i="1"/>
  <c r="I263" i="1"/>
  <c r="J263" i="1"/>
  <c r="M263" i="1"/>
  <c r="N263" i="1"/>
  <c r="O263" i="1"/>
  <c r="P263" i="1"/>
  <c r="Q263" i="1"/>
  <c r="R263" i="1"/>
  <c r="S263" i="1"/>
  <c r="T263" i="1"/>
  <c r="U263" i="1"/>
  <c r="A264" i="1"/>
  <c r="B264" i="1"/>
  <c r="C264" i="1"/>
  <c r="D264" i="1"/>
  <c r="E264" i="1"/>
  <c r="F264" i="1"/>
  <c r="G264" i="1"/>
  <c r="H264" i="1"/>
  <c r="I264" i="1"/>
  <c r="J264" i="1"/>
  <c r="M264" i="1"/>
  <c r="N264" i="1"/>
  <c r="O264" i="1"/>
  <c r="P264" i="1"/>
  <c r="Q264" i="1"/>
  <c r="R264" i="1"/>
  <c r="S264" i="1"/>
  <c r="T264" i="1"/>
  <c r="U264" i="1"/>
  <c r="A265" i="1"/>
  <c r="B265" i="1"/>
  <c r="C265" i="1"/>
  <c r="D265" i="1"/>
  <c r="E265" i="1"/>
  <c r="F265" i="1"/>
  <c r="G265" i="1"/>
  <c r="H265" i="1"/>
  <c r="I265" i="1"/>
  <c r="J265" i="1"/>
  <c r="M265" i="1"/>
  <c r="N265" i="1"/>
  <c r="O265" i="1"/>
  <c r="P265" i="1"/>
  <c r="Q265" i="1"/>
  <c r="R265" i="1"/>
  <c r="S265" i="1"/>
  <c r="U265" i="1"/>
  <c r="A266" i="1"/>
  <c r="B266" i="1"/>
  <c r="C266" i="1"/>
  <c r="D266" i="1"/>
  <c r="E266" i="1"/>
  <c r="F266" i="1"/>
  <c r="G266" i="1"/>
  <c r="H266" i="1"/>
  <c r="I266" i="1"/>
  <c r="J266" i="1"/>
  <c r="M266" i="1"/>
  <c r="N266" i="1"/>
  <c r="O266" i="1"/>
  <c r="P266" i="1"/>
  <c r="Q266" i="1"/>
  <c r="R266" i="1"/>
  <c r="S266" i="1"/>
  <c r="T266" i="1"/>
  <c r="U266" i="1"/>
  <c r="A197" i="1"/>
  <c r="B197" i="1"/>
  <c r="C197" i="1"/>
  <c r="D197" i="1"/>
  <c r="E197" i="1"/>
  <c r="F197" i="1"/>
  <c r="G197" i="1"/>
  <c r="H197" i="1"/>
  <c r="I197" i="1"/>
  <c r="J197" i="1"/>
  <c r="M197" i="1"/>
  <c r="N197" i="1"/>
  <c r="O197" i="1"/>
  <c r="P197" i="1"/>
  <c r="Q197" i="1"/>
  <c r="R197" i="1"/>
  <c r="S197" i="1"/>
  <c r="T197" i="1"/>
  <c r="U197" i="1"/>
  <c r="A198" i="1"/>
  <c r="B198" i="1"/>
  <c r="C198" i="1"/>
  <c r="D198" i="1"/>
  <c r="E198" i="1"/>
  <c r="F198" i="1"/>
  <c r="G198" i="1"/>
  <c r="H198" i="1"/>
  <c r="I198" i="1"/>
  <c r="J198" i="1"/>
  <c r="M198" i="1"/>
  <c r="N198" i="1"/>
  <c r="O198" i="1"/>
  <c r="P198" i="1"/>
  <c r="Q198" i="1"/>
  <c r="R198" i="1"/>
  <c r="S198" i="1"/>
  <c r="T198" i="1"/>
  <c r="U198" i="1"/>
  <c r="A199" i="1"/>
  <c r="B199" i="1"/>
  <c r="C199" i="1"/>
  <c r="D199" i="1"/>
  <c r="E199" i="1"/>
  <c r="F199" i="1"/>
  <c r="G199" i="1"/>
  <c r="H199" i="1"/>
  <c r="I199" i="1"/>
  <c r="J199" i="1"/>
  <c r="M199" i="1"/>
  <c r="N199" i="1"/>
  <c r="O199" i="1"/>
  <c r="P199" i="1"/>
  <c r="Q199" i="1"/>
  <c r="R199" i="1"/>
  <c r="S199" i="1"/>
  <c r="T199" i="1"/>
  <c r="U199" i="1"/>
  <c r="A200" i="1"/>
  <c r="B200" i="1"/>
  <c r="C200" i="1"/>
  <c r="D200" i="1"/>
  <c r="E200" i="1"/>
  <c r="F200" i="1"/>
  <c r="G200" i="1"/>
  <c r="H200" i="1"/>
  <c r="I200" i="1"/>
  <c r="J200" i="1"/>
  <c r="M200" i="1"/>
  <c r="N200" i="1"/>
  <c r="O200" i="1"/>
  <c r="P200" i="1"/>
  <c r="Q200" i="1"/>
  <c r="R200" i="1"/>
  <c r="S200" i="1"/>
  <c r="T200" i="1"/>
  <c r="U200" i="1"/>
  <c r="A12" i="1"/>
  <c r="B12" i="1"/>
  <c r="C12" i="1"/>
  <c r="D12" i="1"/>
  <c r="E12" i="1"/>
  <c r="F12" i="1"/>
  <c r="G12" i="1"/>
  <c r="H12" i="1"/>
  <c r="I12" i="1"/>
  <c r="J12" i="1"/>
  <c r="M12" i="1"/>
  <c r="N12" i="1"/>
  <c r="O12" i="1"/>
  <c r="P12" i="1"/>
  <c r="Q12" i="1"/>
  <c r="R12" i="1"/>
  <c r="S12" i="1"/>
  <c r="T12" i="1"/>
  <c r="U12" i="1"/>
  <c r="A13" i="1"/>
  <c r="B13" i="1"/>
  <c r="C13" i="1"/>
  <c r="D13" i="1"/>
  <c r="E13" i="1"/>
  <c r="F13" i="1"/>
  <c r="G13" i="1"/>
  <c r="H13" i="1"/>
  <c r="I13" i="1"/>
  <c r="J13" i="1"/>
  <c r="M13" i="1"/>
  <c r="N13" i="1"/>
  <c r="O13" i="1"/>
  <c r="P13" i="1"/>
  <c r="Q13" i="1"/>
  <c r="R13" i="1"/>
  <c r="S13" i="1"/>
  <c r="T13" i="1"/>
  <c r="U13" i="1"/>
  <c r="A14" i="1"/>
  <c r="B14" i="1"/>
  <c r="C14" i="1"/>
  <c r="D14" i="1"/>
  <c r="E14" i="1"/>
  <c r="F14" i="1"/>
  <c r="G14" i="1"/>
  <c r="H14" i="1"/>
  <c r="I14" i="1"/>
  <c r="J14" i="1"/>
  <c r="M14" i="1"/>
  <c r="N14" i="1"/>
  <c r="O14" i="1"/>
  <c r="P14" i="1"/>
  <c r="Q14" i="1"/>
  <c r="R14" i="1"/>
  <c r="S14" i="1"/>
  <c r="T14" i="1"/>
  <c r="U14" i="1"/>
  <c r="A15" i="1"/>
  <c r="B15" i="1"/>
  <c r="C15" i="1"/>
  <c r="D15" i="1"/>
  <c r="E15" i="1"/>
  <c r="F15" i="1"/>
  <c r="G15" i="1"/>
  <c r="H15" i="1"/>
  <c r="I15" i="1"/>
  <c r="J15" i="1"/>
  <c r="M15" i="1"/>
  <c r="N15" i="1"/>
  <c r="O15" i="1"/>
  <c r="P15" i="1"/>
  <c r="Q15" i="1"/>
  <c r="R15" i="1"/>
  <c r="S15" i="1"/>
  <c r="T15" i="1"/>
  <c r="U15" i="1"/>
  <c r="A16" i="1"/>
  <c r="B16" i="1"/>
  <c r="C16" i="1"/>
  <c r="D16" i="1"/>
  <c r="E16" i="1"/>
  <c r="F16" i="1"/>
  <c r="G16" i="1"/>
  <c r="H16" i="1"/>
  <c r="I16" i="1"/>
  <c r="J16" i="1"/>
  <c r="M16" i="1"/>
  <c r="N16" i="1"/>
  <c r="O16" i="1"/>
  <c r="P16" i="1"/>
  <c r="Q16" i="1"/>
  <c r="R16" i="1"/>
  <c r="S16" i="1"/>
  <c r="T16" i="1"/>
  <c r="U16" i="1"/>
  <c r="A19" i="1"/>
  <c r="B19" i="1"/>
  <c r="C19" i="1"/>
  <c r="D19" i="1"/>
  <c r="E19" i="1"/>
  <c r="F19" i="1"/>
  <c r="G19" i="1"/>
  <c r="H19" i="1"/>
  <c r="I19" i="1"/>
  <c r="J19" i="1"/>
  <c r="M19" i="1"/>
  <c r="N19" i="1"/>
  <c r="O19" i="1"/>
  <c r="P19" i="1"/>
  <c r="Q19" i="1"/>
  <c r="R19" i="1"/>
  <c r="S19" i="1"/>
  <c r="T19" i="1"/>
  <c r="U19" i="1"/>
  <c r="A17" i="1"/>
  <c r="B17" i="1"/>
  <c r="C17" i="1"/>
  <c r="D17" i="1"/>
  <c r="E17" i="1"/>
  <c r="F17" i="1"/>
  <c r="G17" i="1"/>
  <c r="H17" i="1"/>
  <c r="I17" i="1"/>
  <c r="J17" i="1"/>
  <c r="M17" i="1"/>
  <c r="N17" i="1"/>
  <c r="O17" i="1"/>
  <c r="P17" i="1"/>
  <c r="Q17" i="1"/>
  <c r="R17" i="1"/>
  <c r="S17" i="1"/>
  <c r="U17" i="1"/>
  <c r="A18" i="1"/>
  <c r="B18" i="1"/>
  <c r="C18" i="1"/>
  <c r="D18" i="1"/>
  <c r="E18" i="1"/>
  <c r="F18" i="1"/>
  <c r="G18" i="1"/>
  <c r="H18" i="1"/>
  <c r="I18" i="1"/>
  <c r="J18" i="1"/>
  <c r="M18" i="1"/>
  <c r="N18" i="1"/>
  <c r="O18" i="1"/>
  <c r="P18" i="1"/>
  <c r="Q18" i="1"/>
  <c r="R18" i="1"/>
  <c r="S18" i="1"/>
  <c r="T18" i="1"/>
  <c r="U18" i="1"/>
  <c r="A1891" i="1"/>
  <c r="B1891" i="1"/>
  <c r="C1891" i="1"/>
  <c r="D1891" i="1"/>
  <c r="E1891" i="1"/>
  <c r="F1891" i="1"/>
  <c r="G1891" i="1"/>
  <c r="H1891" i="1"/>
  <c r="I1891" i="1"/>
  <c r="J1891" i="1"/>
  <c r="M1891" i="1"/>
  <c r="N1891" i="1"/>
  <c r="O1891" i="1"/>
  <c r="P1891" i="1"/>
  <c r="Q1891" i="1"/>
  <c r="R1891" i="1"/>
  <c r="S1891" i="1"/>
  <c r="T1891" i="1"/>
  <c r="U1891" i="1"/>
  <c r="A1892" i="1"/>
  <c r="B1892" i="1"/>
  <c r="C1892" i="1"/>
  <c r="D1892" i="1"/>
  <c r="E1892" i="1"/>
  <c r="F1892" i="1"/>
  <c r="G1892" i="1"/>
  <c r="H1892" i="1"/>
  <c r="I1892" i="1"/>
  <c r="J1892" i="1"/>
  <c r="M1892" i="1"/>
  <c r="N1892" i="1"/>
  <c r="O1892" i="1"/>
  <c r="P1892" i="1"/>
  <c r="Q1892" i="1"/>
  <c r="R1892" i="1"/>
  <c r="S1892" i="1"/>
  <c r="T1892" i="1"/>
  <c r="U1892" i="1"/>
  <c r="A1786" i="1"/>
  <c r="B1786" i="1"/>
  <c r="C1786" i="1"/>
  <c r="D1786" i="1"/>
  <c r="E1786" i="1"/>
  <c r="F1786" i="1"/>
  <c r="G1786" i="1"/>
  <c r="H1786" i="1"/>
  <c r="I1786" i="1"/>
  <c r="J1786" i="1"/>
  <c r="M1786" i="1"/>
  <c r="N1786" i="1"/>
  <c r="O1786" i="1"/>
  <c r="P1786" i="1"/>
  <c r="Q1786" i="1"/>
  <c r="R1786" i="1"/>
  <c r="S1786" i="1"/>
  <c r="T1786" i="1"/>
  <c r="U1786" i="1"/>
  <c r="A1787" i="1"/>
  <c r="B1787" i="1"/>
  <c r="C1787" i="1"/>
  <c r="D1787" i="1"/>
  <c r="E1787" i="1"/>
  <c r="F1787" i="1"/>
  <c r="G1787" i="1"/>
  <c r="H1787" i="1"/>
  <c r="I1787" i="1"/>
  <c r="J1787" i="1"/>
  <c r="M1787" i="1"/>
  <c r="N1787" i="1"/>
  <c r="O1787" i="1"/>
  <c r="P1787" i="1"/>
  <c r="Q1787" i="1"/>
  <c r="R1787" i="1"/>
  <c r="S1787" i="1"/>
  <c r="T1787" i="1"/>
  <c r="U1787" i="1"/>
  <c r="A1788" i="1"/>
  <c r="B1788" i="1"/>
  <c r="C1788" i="1"/>
  <c r="D1788" i="1"/>
  <c r="E1788" i="1"/>
  <c r="F1788" i="1"/>
  <c r="G1788" i="1"/>
  <c r="H1788" i="1"/>
  <c r="I1788" i="1"/>
  <c r="J1788" i="1"/>
  <c r="M1788" i="1"/>
  <c r="N1788" i="1"/>
  <c r="O1788" i="1"/>
  <c r="P1788" i="1"/>
  <c r="Q1788" i="1"/>
  <c r="R1788" i="1"/>
  <c r="S1788" i="1"/>
  <c r="T1788" i="1"/>
  <c r="U1788" i="1"/>
  <c r="A1522" i="1"/>
  <c r="B1522" i="1"/>
  <c r="C1522" i="1"/>
  <c r="D1522" i="1"/>
  <c r="E1522" i="1"/>
  <c r="F1522" i="1"/>
  <c r="G1522" i="1"/>
  <c r="H1522" i="1"/>
  <c r="I1522" i="1"/>
  <c r="J1522" i="1"/>
  <c r="M1522" i="1"/>
  <c r="N1522" i="1"/>
  <c r="O1522" i="1"/>
  <c r="P1522" i="1"/>
  <c r="Q1522" i="1"/>
  <c r="R1522" i="1"/>
  <c r="S1522" i="1"/>
  <c r="T1522" i="1"/>
  <c r="U1522" i="1"/>
  <c r="A1523" i="1"/>
  <c r="B1523" i="1"/>
  <c r="C1523" i="1"/>
  <c r="D1523" i="1"/>
  <c r="E1523" i="1"/>
  <c r="F1523" i="1"/>
  <c r="G1523" i="1"/>
  <c r="H1523" i="1"/>
  <c r="I1523" i="1"/>
  <c r="J1523" i="1"/>
  <c r="M1523" i="1"/>
  <c r="N1523" i="1"/>
  <c r="O1523" i="1"/>
  <c r="P1523" i="1"/>
  <c r="Q1523" i="1"/>
  <c r="R1523" i="1"/>
  <c r="S1523" i="1"/>
  <c r="T1523" i="1"/>
  <c r="U1523" i="1"/>
  <c r="A1524" i="1"/>
  <c r="B1524" i="1"/>
  <c r="C1524" i="1"/>
  <c r="D1524" i="1"/>
  <c r="E1524" i="1"/>
  <c r="F1524" i="1"/>
  <c r="G1524" i="1"/>
  <c r="H1524" i="1"/>
  <c r="I1524" i="1"/>
  <c r="J1524" i="1"/>
  <c r="M1524" i="1"/>
  <c r="N1524" i="1"/>
  <c r="O1524" i="1"/>
  <c r="P1524" i="1"/>
  <c r="Q1524" i="1"/>
  <c r="R1524" i="1"/>
  <c r="S1524" i="1"/>
  <c r="T1524" i="1"/>
  <c r="U1524" i="1"/>
  <c r="A1525" i="1"/>
  <c r="B1525" i="1"/>
  <c r="C1525" i="1"/>
  <c r="D1525" i="1"/>
  <c r="E1525" i="1"/>
  <c r="F1525" i="1"/>
  <c r="G1525" i="1"/>
  <c r="H1525" i="1"/>
  <c r="I1525" i="1"/>
  <c r="J1525" i="1"/>
  <c r="M1525" i="1"/>
  <c r="N1525" i="1"/>
  <c r="O1525" i="1"/>
  <c r="P1525" i="1"/>
  <c r="Q1525" i="1"/>
  <c r="R1525" i="1"/>
  <c r="S1525" i="1"/>
  <c r="T1525" i="1"/>
  <c r="U1525" i="1"/>
  <c r="A1526" i="1"/>
  <c r="B1526" i="1"/>
  <c r="C1526" i="1"/>
  <c r="D1526" i="1"/>
  <c r="E1526" i="1"/>
  <c r="F1526" i="1"/>
  <c r="G1526" i="1"/>
  <c r="H1526" i="1"/>
  <c r="I1526" i="1"/>
  <c r="J1526" i="1"/>
  <c r="M1526" i="1"/>
  <c r="N1526" i="1"/>
  <c r="O1526" i="1"/>
  <c r="P1526" i="1"/>
  <c r="Q1526" i="1"/>
  <c r="R1526" i="1"/>
  <c r="S1526" i="1"/>
  <c r="T1526" i="1"/>
  <c r="U1526" i="1"/>
  <c r="A1473" i="1"/>
  <c r="B1473" i="1"/>
  <c r="C1473" i="1"/>
  <c r="D1473" i="1"/>
  <c r="E1473" i="1"/>
  <c r="F1473" i="1"/>
  <c r="G1473" i="1"/>
  <c r="H1473" i="1"/>
  <c r="I1473" i="1"/>
  <c r="J1473" i="1"/>
  <c r="M1473" i="1"/>
  <c r="N1473" i="1"/>
  <c r="O1473" i="1"/>
  <c r="P1473" i="1"/>
  <c r="Q1473" i="1"/>
  <c r="R1473" i="1"/>
  <c r="S1473" i="1"/>
  <c r="T1473" i="1"/>
  <c r="U1473" i="1"/>
  <c r="A1460" i="1"/>
  <c r="B1460" i="1"/>
  <c r="C1460" i="1"/>
  <c r="D1460" i="1"/>
  <c r="E1460" i="1"/>
  <c r="F1460" i="1"/>
  <c r="G1460" i="1"/>
  <c r="H1460" i="1"/>
  <c r="I1460" i="1"/>
  <c r="J1460" i="1"/>
  <c r="M1460" i="1"/>
  <c r="N1460" i="1"/>
  <c r="O1460" i="1"/>
  <c r="P1460" i="1"/>
  <c r="Q1460" i="1"/>
  <c r="R1460" i="1"/>
  <c r="S1460" i="1"/>
  <c r="T1460" i="1"/>
  <c r="U1460" i="1"/>
  <c r="A1461" i="1"/>
  <c r="B1461" i="1"/>
  <c r="C1461" i="1"/>
  <c r="D1461" i="1"/>
  <c r="E1461" i="1"/>
  <c r="F1461" i="1"/>
  <c r="G1461" i="1"/>
  <c r="H1461" i="1"/>
  <c r="I1461" i="1"/>
  <c r="J1461" i="1"/>
  <c r="M1461" i="1"/>
  <c r="N1461" i="1"/>
  <c r="O1461" i="1"/>
  <c r="P1461" i="1"/>
  <c r="Q1461" i="1"/>
  <c r="R1461" i="1"/>
  <c r="S1461" i="1"/>
  <c r="T1461" i="1"/>
  <c r="U1461" i="1"/>
  <c r="A1462" i="1"/>
  <c r="B1462" i="1"/>
  <c r="C1462" i="1"/>
  <c r="D1462" i="1"/>
  <c r="E1462" i="1"/>
  <c r="F1462" i="1"/>
  <c r="G1462" i="1"/>
  <c r="H1462" i="1"/>
  <c r="I1462" i="1"/>
  <c r="J1462" i="1"/>
  <c r="M1462" i="1"/>
  <c r="N1462" i="1"/>
  <c r="O1462" i="1"/>
  <c r="P1462" i="1"/>
  <c r="Q1462" i="1"/>
  <c r="R1462" i="1"/>
  <c r="S1462" i="1"/>
  <c r="T1462" i="1"/>
  <c r="U1462" i="1"/>
  <c r="A1463" i="1"/>
  <c r="B1463" i="1"/>
  <c r="C1463" i="1"/>
  <c r="D1463" i="1"/>
  <c r="E1463" i="1"/>
  <c r="F1463" i="1"/>
  <c r="G1463" i="1"/>
  <c r="H1463" i="1"/>
  <c r="I1463" i="1"/>
  <c r="J1463" i="1"/>
  <c r="M1463" i="1"/>
  <c r="N1463" i="1"/>
  <c r="O1463" i="1"/>
  <c r="P1463" i="1"/>
  <c r="Q1463" i="1"/>
  <c r="R1463" i="1"/>
  <c r="S1463" i="1"/>
  <c r="T1463" i="1"/>
  <c r="U1463" i="1"/>
  <c r="A1464" i="1"/>
  <c r="B1464" i="1"/>
  <c r="C1464" i="1"/>
  <c r="D1464" i="1"/>
  <c r="E1464" i="1"/>
  <c r="F1464" i="1"/>
  <c r="G1464" i="1"/>
  <c r="H1464" i="1"/>
  <c r="I1464" i="1"/>
  <c r="J1464" i="1"/>
  <c r="M1464" i="1"/>
  <c r="N1464" i="1"/>
  <c r="O1464" i="1"/>
  <c r="P1464" i="1"/>
  <c r="Q1464" i="1"/>
  <c r="R1464" i="1"/>
  <c r="S1464" i="1"/>
  <c r="T1464" i="1"/>
  <c r="U1464" i="1"/>
  <c r="A1465" i="1"/>
  <c r="B1465" i="1"/>
  <c r="C1465" i="1"/>
  <c r="D1465" i="1"/>
  <c r="E1465" i="1"/>
  <c r="F1465" i="1"/>
  <c r="G1465" i="1"/>
  <c r="H1465" i="1"/>
  <c r="I1465" i="1"/>
  <c r="J1465" i="1"/>
  <c r="M1465" i="1"/>
  <c r="N1465" i="1"/>
  <c r="O1465" i="1"/>
  <c r="P1465" i="1"/>
  <c r="Q1465" i="1"/>
  <c r="R1465" i="1"/>
  <c r="S1465" i="1"/>
  <c r="T1465" i="1"/>
  <c r="U1465" i="1"/>
  <c r="A1466" i="1"/>
  <c r="B1466" i="1"/>
  <c r="C1466" i="1"/>
  <c r="D1466" i="1"/>
  <c r="E1466" i="1"/>
  <c r="F1466" i="1"/>
  <c r="G1466" i="1"/>
  <c r="H1466" i="1"/>
  <c r="I1466" i="1"/>
  <c r="J1466" i="1"/>
  <c r="M1466" i="1"/>
  <c r="N1466" i="1"/>
  <c r="O1466" i="1"/>
  <c r="P1466" i="1"/>
  <c r="Q1466" i="1"/>
  <c r="R1466" i="1"/>
  <c r="S1466" i="1"/>
  <c r="T1466" i="1"/>
  <c r="U1466" i="1"/>
  <c r="A1467" i="1"/>
  <c r="B1467" i="1"/>
  <c r="C1467" i="1"/>
  <c r="D1467" i="1"/>
  <c r="E1467" i="1"/>
  <c r="F1467" i="1"/>
  <c r="G1467" i="1"/>
  <c r="H1467" i="1"/>
  <c r="I1467" i="1"/>
  <c r="J1467" i="1"/>
  <c r="M1467" i="1"/>
  <c r="N1467" i="1"/>
  <c r="O1467" i="1"/>
  <c r="P1467" i="1"/>
  <c r="Q1467" i="1"/>
  <c r="R1467" i="1"/>
  <c r="S1467" i="1"/>
  <c r="T1467" i="1"/>
  <c r="U1467" i="1"/>
  <c r="A1459" i="1"/>
  <c r="B1459" i="1"/>
  <c r="C1459" i="1"/>
  <c r="D1459" i="1"/>
  <c r="E1459" i="1"/>
  <c r="F1459" i="1"/>
  <c r="G1459" i="1"/>
  <c r="H1459" i="1"/>
  <c r="I1459" i="1"/>
  <c r="J1459" i="1"/>
  <c r="M1459" i="1"/>
  <c r="N1459" i="1"/>
  <c r="O1459" i="1"/>
  <c r="Q1459" i="1"/>
  <c r="R1459" i="1"/>
  <c r="S1459" i="1"/>
  <c r="T1459" i="1"/>
  <c r="U1459" i="1"/>
  <c r="A1472" i="1"/>
  <c r="B1472" i="1"/>
  <c r="C1472" i="1"/>
  <c r="D1472" i="1"/>
  <c r="E1472" i="1"/>
  <c r="F1472" i="1"/>
  <c r="G1472" i="1"/>
  <c r="H1472" i="1"/>
  <c r="I1472" i="1"/>
  <c r="J1472" i="1"/>
  <c r="M1472" i="1"/>
  <c r="N1472" i="1"/>
  <c r="O1472" i="1"/>
  <c r="P1472" i="1"/>
  <c r="Q1472" i="1"/>
  <c r="R1472" i="1"/>
  <c r="S1472" i="1"/>
  <c r="T1472" i="1"/>
  <c r="U1472" i="1"/>
  <c r="A1458" i="1"/>
  <c r="B1458" i="1"/>
  <c r="C1458" i="1"/>
  <c r="D1458" i="1"/>
  <c r="E1458" i="1"/>
  <c r="F1458" i="1"/>
  <c r="G1458" i="1"/>
  <c r="H1458" i="1"/>
  <c r="I1458" i="1"/>
  <c r="J1458" i="1"/>
  <c r="M1458" i="1"/>
  <c r="N1458" i="1"/>
  <c r="O1458" i="1"/>
  <c r="Q1458" i="1"/>
  <c r="R1458" i="1"/>
  <c r="S1458" i="1"/>
  <c r="T1458" i="1"/>
  <c r="U1458" i="1"/>
  <c r="A1470" i="1"/>
  <c r="B1470" i="1"/>
  <c r="C1470" i="1"/>
  <c r="D1470" i="1"/>
  <c r="E1470" i="1"/>
  <c r="F1470" i="1"/>
  <c r="G1470" i="1"/>
  <c r="H1470" i="1"/>
  <c r="I1470" i="1"/>
  <c r="J1470" i="1"/>
  <c r="M1470" i="1"/>
  <c r="N1470" i="1"/>
  <c r="O1470" i="1"/>
  <c r="P1470" i="1"/>
  <c r="Q1470" i="1"/>
  <c r="R1470" i="1"/>
  <c r="S1470" i="1"/>
  <c r="T1470" i="1"/>
  <c r="U1470" i="1"/>
  <c r="A1468" i="1"/>
  <c r="B1468" i="1"/>
  <c r="C1468" i="1"/>
  <c r="D1468" i="1"/>
  <c r="E1468" i="1"/>
  <c r="F1468" i="1"/>
  <c r="G1468" i="1"/>
  <c r="H1468" i="1"/>
  <c r="I1468" i="1"/>
  <c r="J1468" i="1"/>
  <c r="M1468" i="1"/>
  <c r="N1468" i="1"/>
  <c r="O1468" i="1"/>
  <c r="P1468" i="1"/>
  <c r="Q1468" i="1"/>
  <c r="R1468" i="1"/>
  <c r="S1468" i="1"/>
  <c r="T1468" i="1"/>
  <c r="U1468" i="1"/>
  <c r="A1471" i="1"/>
  <c r="B1471" i="1"/>
  <c r="C1471" i="1"/>
  <c r="D1471" i="1"/>
  <c r="E1471" i="1"/>
  <c r="F1471" i="1"/>
  <c r="G1471" i="1"/>
  <c r="H1471" i="1"/>
  <c r="I1471" i="1"/>
  <c r="J1471" i="1"/>
  <c r="M1471" i="1"/>
  <c r="N1471" i="1"/>
  <c r="O1471" i="1"/>
  <c r="P1471" i="1"/>
  <c r="Q1471" i="1"/>
  <c r="R1471" i="1"/>
  <c r="S1471" i="1"/>
  <c r="T1471" i="1"/>
  <c r="U1471" i="1"/>
  <c r="A1469" i="1"/>
  <c r="B1469" i="1"/>
  <c r="C1469" i="1"/>
  <c r="D1469" i="1"/>
  <c r="E1469" i="1"/>
  <c r="F1469" i="1"/>
  <c r="G1469" i="1"/>
  <c r="H1469" i="1"/>
  <c r="I1469" i="1"/>
  <c r="J1469" i="1"/>
  <c r="M1469" i="1"/>
  <c r="N1469" i="1"/>
  <c r="O1469" i="1"/>
  <c r="P1469" i="1"/>
  <c r="Q1469" i="1"/>
  <c r="R1469" i="1"/>
  <c r="S1469" i="1"/>
  <c r="T1469" i="1"/>
  <c r="U1469" i="1"/>
  <c r="A1391" i="1"/>
  <c r="B1391" i="1"/>
  <c r="C1391" i="1"/>
  <c r="D1391" i="1"/>
  <c r="E1391" i="1"/>
  <c r="F1391" i="1"/>
  <c r="G1391" i="1"/>
  <c r="H1391" i="1"/>
  <c r="I1391" i="1"/>
  <c r="J1391" i="1"/>
  <c r="M1391" i="1"/>
  <c r="N1391" i="1"/>
  <c r="O1391" i="1"/>
  <c r="P1391" i="1"/>
  <c r="Q1391" i="1"/>
  <c r="R1391" i="1"/>
  <c r="S1391" i="1"/>
  <c r="T1391" i="1"/>
  <c r="U1391" i="1"/>
  <c r="A1392" i="1"/>
  <c r="B1392" i="1"/>
  <c r="C1392" i="1"/>
  <c r="D1392" i="1"/>
  <c r="E1392" i="1"/>
  <c r="F1392" i="1"/>
  <c r="G1392" i="1"/>
  <c r="H1392" i="1"/>
  <c r="I1392" i="1"/>
  <c r="J1392" i="1"/>
  <c r="M1392" i="1"/>
  <c r="N1392" i="1"/>
  <c r="O1392" i="1"/>
  <c r="P1392" i="1"/>
  <c r="Q1392" i="1"/>
  <c r="R1392" i="1"/>
  <c r="S1392" i="1"/>
  <c r="T1392" i="1"/>
  <c r="U1392" i="1"/>
  <c r="A1393" i="1"/>
  <c r="B1393" i="1"/>
  <c r="C1393" i="1"/>
  <c r="D1393" i="1"/>
  <c r="E1393" i="1"/>
  <c r="F1393" i="1"/>
  <c r="G1393" i="1"/>
  <c r="H1393" i="1"/>
  <c r="I1393" i="1"/>
  <c r="J1393" i="1"/>
  <c r="M1393" i="1"/>
  <c r="N1393" i="1"/>
  <c r="O1393" i="1"/>
  <c r="P1393" i="1"/>
  <c r="Q1393" i="1"/>
  <c r="R1393" i="1"/>
  <c r="S1393" i="1"/>
  <c r="T1393" i="1"/>
  <c r="U1393" i="1"/>
  <c r="A1255" i="1"/>
  <c r="B1255" i="1"/>
  <c r="C1255" i="1"/>
  <c r="D1255" i="1"/>
  <c r="E1255" i="1"/>
  <c r="F1255" i="1"/>
  <c r="G1255" i="1"/>
  <c r="H1255" i="1"/>
  <c r="I1255" i="1"/>
  <c r="J1255" i="1"/>
  <c r="M1255" i="1"/>
  <c r="N1255" i="1"/>
  <c r="O1255" i="1"/>
  <c r="P1255" i="1"/>
  <c r="Q1255" i="1"/>
  <c r="R1255" i="1"/>
  <c r="S1255" i="1"/>
  <c r="T1255" i="1"/>
  <c r="U1255" i="1"/>
  <c r="A1256" i="1"/>
  <c r="B1256" i="1"/>
  <c r="C1256" i="1"/>
  <c r="D1256" i="1"/>
  <c r="E1256" i="1"/>
  <c r="F1256" i="1"/>
  <c r="G1256" i="1"/>
  <c r="H1256" i="1"/>
  <c r="I1256" i="1"/>
  <c r="J1256" i="1"/>
  <c r="M1256" i="1"/>
  <c r="N1256" i="1"/>
  <c r="O1256" i="1"/>
  <c r="P1256" i="1"/>
  <c r="Q1256" i="1"/>
  <c r="R1256" i="1"/>
  <c r="S1256" i="1"/>
  <c r="T1256" i="1"/>
  <c r="U1256" i="1"/>
  <c r="A1257" i="1"/>
  <c r="B1257" i="1"/>
  <c r="C1257" i="1"/>
  <c r="D1257" i="1"/>
  <c r="E1257" i="1"/>
  <c r="F1257" i="1"/>
  <c r="G1257" i="1"/>
  <c r="H1257" i="1"/>
  <c r="I1257" i="1"/>
  <c r="J1257" i="1"/>
  <c r="M1257" i="1"/>
  <c r="N1257" i="1"/>
  <c r="O1257" i="1"/>
  <c r="P1257" i="1"/>
  <c r="Q1257" i="1"/>
  <c r="R1257" i="1"/>
  <c r="S1257" i="1"/>
  <c r="T1257" i="1"/>
  <c r="U1257" i="1"/>
  <c r="A1254" i="1"/>
  <c r="B1254" i="1"/>
  <c r="C1254" i="1"/>
  <c r="D1254" i="1"/>
  <c r="E1254" i="1"/>
  <c r="F1254" i="1"/>
  <c r="G1254" i="1"/>
  <c r="H1254" i="1"/>
  <c r="I1254" i="1"/>
  <c r="J1254" i="1"/>
  <c r="M1254" i="1"/>
  <c r="N1254" i="1"/>
  <c r="O1254" i="1"/>
  <c r="Q1254" i="1"/>
  <c r="R1254" i="1"/>
  <c r="S1254" i="1"/>
  <c r="T1254" i="1"/>
  <c r="U1254" i="1"/>
  <c r="A1259" i="1"/>
  <c r="B1259" i="1"/>
  <c r="C1259" i="1"/>
  <c r="D1259" i="1"/>
  <c r="E1259" i="1"/>
  <c r="F1259" i="1"/>
  <c r="G1259" i="1"/>
  <c r="H1259" i="1"/>
  <c r="I1259" i="1"/>
  <c r="J1259" i="1"/>
  <c r="M1259" i="1"/>
  <c r="N1259" i="1"/>
  <c r="O1259" i="1"/>
  <c r="P1259" i="1"/>
  <c r="Q1259" i="1"/>
  <c r="R1259" i="1"/>
  <c r="S1259" i="1"/>
  <c r="T1259" i="1"/>
  <c r="U1259" i="1"/>
  <c r="A1258" i="1"/>
  <c r="B1258" i="1"/>
  <c r="C1258" i="1"/>
  <c r="D1258" i="1"/>
  <c r="E1258" i="1"/>
  <c r="F1258" i="1"/>
  <c r="G1258" i="1"/>
  <c r="H1258" i="1"/>
  <c r="I1258" i="1"/>
  <c r="J1258" i="1"/>
  <c r="M1258" i="1"/>
  <c r="N1258" i="1"/>
  <c r="O1258" i="1"/>
  <c r="P1258" i="1"/>
  <c r="Q1258" i="1"/>
  <c r="R1258" i="1"/>
  <c r="S1258" i="1"/>
  <c r="T1258" i="1"/>
  <c r="U1258" i="1"/>
  <c r="A1152" i="1"/>
  <c r="B1152" i="1"/>
  <c r="C1152" i="1"/>
  <c r="D1152" i="1"/>
  <c r="E1152" i="1"/>
  <c r="F1152" i="1"/>
  <c r="G1152" i="1"/>
  <c r="H1152" i="1"/>
  <c r="I1152" i="1"/>
  <c r="J1152" i="1"/>
  <c r="M1152" i="1"/>
  <c r="N1152" i="1"/>
  <c r="O1152" i="1"/>
  <c r="P1152" i="1"/>
  <c r="Q1152" i="1"/>
  <c r="R1152" i="1"/>
  <c r="S1152" i="1"/>
  <c r="T1152" i="1"/>
  <c r="U1152" i="1"/>
  <c r="A1101" i="1"/>
  <c r="B1101" i="1"/>
  <c r="C1101" i="1"/>
  <c r="D1101" i="1"/>
  <c r="E1101" i="1"/>
  <c r="F1101" i="1"/>
  <c r="G1101" i="1"/>
  <c r="H1101" i="1"/>
  <c r="I1101" i="1"/>
  <c r="J1101" i="1"/>
  <c r="M1101" i="1"/>
  <c r="N1101" i="1"/>
  <c r="O1101" i="1"/>
  <c r="P1101" i="1"/>
  <c r="Q1101" i="1"/>
  <c r="R1101" i="1"/>
  <c r="S1101" i="1"/>
  <c r="T1101" i="1"/>
  <c r="U1101" i="1"/>
  <c r="A1100" i="1"/>
  <c r="B1100" i="1"/>
  <c r="C1100" i="1"/>
  <c r="D1100" i="1"/>
  <c r="E1100" i="1"/>
  <c r="F1100" i="1"/>
  <c r="G1100" i="1"/>
  <c r="H1100" i="1"/>
  <c r="I1100" i="1"/>
  <c r="J1100" i="1"/>
  <c r="M1100" i="1"/>
  <c r="N1100" i="1"/>
  <c r="O1100" i="1"/>
  <c r="P1100" i="1"/>
  <c r="Q1100" i="1"/>
  <c r="R1100" i="1"/>
  <c r="S1100" i="1"/>
  <c r="T1100" i="1"/>
  <c r="U1100" i="1"/>
  <c r="A1013" i="1"/>
  <c r="B1013" i="1"/>
  <c r="C1013" i="1"/>
  <c r="D1013" i="1"/>
  <c r="E1013" i="1"/>
  <c r="F1013" i="1"/>
  <c r="G1013" i="1"/>
  <c r="H1013" i="1"/>
  <c r="I1013" i="1"/>
  <c r="J1013" i="1"/>
  <c r="M1013" i="1"/>
  <c r="N1013" i="1"/>
  <c r="O1013" i="1"/>
  <c r="P1013" i="1"/>
  <c r="Q1013" i="1"/>
  <c r="R1013" i="1"/>
  <c r="S1013" i="1"/>
  <c r="T1013" i="1"/>
  <c r="U1013" i="1"/>
  <c r="A1014" i="1"/>
  <c r="B1014" i="1"/>
  <c r="C1014" i="1"/>
  <c r="D1014" i="1"/>
  <c r="E1014" i="1"/>
  <c r="F1014" i="1"/>
  <c r="G1014" i="1"/>
  <c r="H1014" i="1"/>
  <c r="I1014" i="1"/>
  <c r="J1014" i="1"/>
  <c r="M1014" i="1"/>
  <c r="N1014" i="1"/>
  <c r="O1014" i="1"/>
  <c r="P1014" i="1"/>
  <c r="Q1014" i="1"/>
  <c r="R1014" i="1"/>
  <c r="S1014" i="1"/>
  <c r="T1014" i="1"/>
  <c r="U1014" i="1"/>
  <c r="A1015" i="1"/>
  <c r="B1015" i="1"/>
  <c r="C1015" i="1"/>
  <c r="D1015" i="1"/>
  <c r="E1015" i="1"/>
  <c r="F1015" i="1"/>
  <c r="G1015" i="1"/>
  <c r="H1015" i="1"/>
  <c r="I1015" i="1"/>
  <c r="J1015" i="1"/>
  <c r="M1015" i="1"/>
  <c r="N1015" i="1"/>
  <c r="O1015" i="1"/>
  <c r="P1015" i="1"/>
  <c r="Q1015" i="1"/>
  <c r="R1015" i="1"/>
  <c r="S1015" i="1"/>
  <c r="T1015" i="1"/>
  <c r="U1015" i="1"/>
  <c r="A934" i="1"/>
  <c r="B934" i="1"/>
  <c r="C934" i="1"/>
  <c r="D934" i="1"/>
  <c r="E934" i="1"/>
  <c r="F934" i="1"/>
  <c r="G934" i="1"/>
  <c r="H934" i="1"/>
  <c r="I934" i="1"/>
  <c r="J934" i="1"/>
  <c r="M934" i="1"/>
  <c r="N934" i="1"/>
  <c r="O934" i="1"/>
  <c r="P934" i="1"/>
  <c r="Q934" i="1"/>
  <c r="R934" i="1"/>
  <c r="S934" i="1"/>
  <c r="T934" i="1"/>
  <c r="U934" i="1"/>
  <c r="A935" i="1"/>
  <c r="B935" i="1"/>
  <c r="C935" i="1"/>
  <c r="D935" i="1"/>
  <c r="E935" i="1"/>
  <c r="F935" i="1"/>
  <c r="G935" i="1"/>
  <c r="H935" i="1"/>
  <c r="I935" i="1"/>
  <c r="J935" i="1"/>
  <c r="M935" i="1"/>
  <c r="N935" i="1"/>
  <c r="O935" i="1"/>
  <c r="P935" i="1"/>
  <c r="Q935" i="1"/>
  <c r="R935" i="1"/>
  <c r="S935" i="1"/>
  <c r="T935" i="1"/>
  <c r="U935" i="1"/>
  <c r="A936" i="1"/>
  <c r="B936" i="1"/>
  <c r="C936" i="1"/>
  <c r="D936" i="1"/>
  <c r="E936" i="1"/>
  <c r="F936" i="1"/>
  <c r="G936" i="1"/>
  <c r="H936" i="1"/>
  <c r="I936" i="1"/>
  <c r="J936" i="1"/>
  <c r="M936" i="1"/>
  <c r="N936" i="1"/>
  <c r="O936" i="1"/>
  <c r="P936" i="1"/>
  <c r="Q936" i="1"/>
  <c r="R936" i="1"/>
  <c r="S936" i="1"/>
  <c r="T936" i="1"/>
  <c r="U936" i="1"/>
  <c r="A937" i="1"/>
  <c r="B937" i="1"/>
  <c r="C937" i="1"/>
  <c r="D937" i="1"/>
  <c r="E937" i="1"/>
  <c r="F937" i="1"/>
  <c r="G937" i="1"/>
  <c r="H937" i="1"/>
  <c r="I937" i="1"/>
  <c r="J937" i="1"/>
  <c r="M937" i="1"/>
  <c r="N937" i="1"/>
  <c r="O937" i="1"/>
  <c r="P937" i="1"/>
  <c r="Q937" i="1"/>
  <c r="R937" i="1"/>
  <c r="S937" i="1"/>
  <c r="T937" i="1"/>
  <c r="U937" i="1"/>
  <c r="A885" i="1"/>
  <c r="B885" i="1"/>
  <c r="C885" i="1"/>
  <c r="D885" i="1"/>
  <c r="E885" i="1"/>
  <c r="F885" i="1"/>
  <c r="G885" i="1"/>
  <c r="H885" i="1"/>
  <c r="I885" i="1"/>
  <c r="J885" i="1"/>
  <c r="M885" i="1"/>
  <c r="N885" i="1"/>
  <c r="O885" i="1"/>
  <c r="P885" i="1"/>
  <c r="Q885" i="1"/>
  <c r="R885" i="1"/>
  <c r="S885" i="1"/>
  <c r="T885" i="1"/>
  <c r="U885" i="1"/>
  <c r="A886" i="1"/>
  <c r="B886" i="1"/>
  <c r="C886" i="1"/>
  <c r="D886" i="1"/>
  <c r="E886" i="1"/>
  <c r="F886" i="1"/>
  <c r="G886" i="1"/>
  <c r="H886" i="1"/>
  <c r="I886" i="1"/>
  <c r="J886" i="1"/>
  <c r="M886" i="1"/>
  <c r="N886" i="1"/>
  <c r="O886" i="1"/>
  <c r="P886" i="1"/>
  <c r="Q886" i="1"/>
  <c r="R886" i="1"/>
  <c r="S886" i="1"/>
  <c r="T886" i="1"/>
  <c r="U886" i="1"/>
  <c r="A887" i="1"/>
  <c r="B887" i="1"/>
  <c r="C887" i="1"/>
  <c r="D887" i="1"/>
  <c r="E887" i="1"/>
  <c r="F887" i="1"/>
  <c r="G887" i="1"/>
  <c r="H887" i="1"/>
  <c r="I887" i="1"/>
  <c r="J887" i="1"/>
  <c r="M887" i="1"/>
  <c r="N887" i="1"/>
  <c r="O887" i="1"/>
  <c r="P887" i="1"/>
  <c r="Q887" i="1"/>
  <c r="R887" i="1"/>
  <c r="S887" i="1"/>
  <c r="T887" i="1"/>
  <c r="U887" i="1"/>
  <c r="A796" i="1"/>
  <c r="B796" i="1"/>
  <c r="C796" i="1"/>
  <c r="D796" i="1"/>
  <c r="E796" i="1"/>
  <c r="F796" i="1"/>
  <c r="G796" i="1"/>
  <c r="H796" i="1"/>
  <c r="I796" i="1"/>
  <c r="J796" i="1"/>
  <c r="M796" i="1"/>
  <c r="N796" i="1"/>
  <c r="O796" i="1"/>
  <c r="P796" i="1"/>
  <c r="Q796" i="1"/>
  <c r="R796" i="1"/>
  <c r="S796" i="1"/>
  <c r="T796" i="1"/>
  <c r="U796" i="1"/>
  <c r="A797" i="1"/>
  <c r="B797" i="1"/>
  <c r="C797" i="1"/>
  <c r="D797" i="1"/>
  <c r="E797" i="1"/>
  <c r="F797" i="1"/>
  <c r="G797" i="1"/>
  <c r="H797" i="1"/>
  <c r="I797" i="1"/>
  <c r="J797" i="1"/>
  <c r="M797" i="1"/>
  <c r="N797" i="1"/>
  <c r="O797" i="1"/>
  <c r="P797" i="1"/>
  <c r="Q797" i="1"/>
  <c r="R797" i="1"/>
  <c r="S797" i="1"/>
  <c r="T797" i="1"/>
  <c r="U797" i="1"/>
  <c r="A798" i="1"/>
  <c r="B798" i="1"/>
  <c r="C798" i="1"/>
  <c r="D798" i="1"/>
  <c r="E798" i="1"/>
  <c r="F798" i="1"/>
  <c r="G798" i="1"/>
  <c r="H798" i="1"/>
  <c r="I798" i="1"/>
  <c r="J798" i="1"/>
  <c r="M798" i="1"/>
  <c r="N798" i="1"/>
  <c r="O798" i="1"/>
  <c r="P798" i="1"/>
  <c r="Q798" i="1"/>
  <c r="R798" i="1"/>
  <c r="S798" i="1"/>
  <c r="T798" i="1"/>
  <c r="U798" i="1"/>
  <c r="A799" i="1"/>
  <c r="B799" i="1"/>
  <c r="C799" i="1"/>
  <c r="D799" i="1"/>
  <c r="E799" i="1"/>
  <c r="F799" i="1"/>
  <c r="G799" i="1"/>
  <c r="H799" i="1"/>
  <c r="I799" i="1"/>
  <c r="J799" i="1"/>
  <c r="M799" i="1"/>
  <c r="N799" i="1"/>
  <c r="O799" i="1"/>
  <c r="P799" i="1"/>
  <c r="Q799" i="1"/>
  <c r="R799" i="1"/>
  <c r="S799" i="1"/>
  <c r="T799" i="1"/>
  <c r="U799" i="1"/>
  <c r="A637" i="1"/>
  <c r="B637" i="1"/>
  <c r="C637" i="1"/>
  <c r="D637" i="1"/>
  <c r="E637" i="1"/>
  <c r="F637" i="1"/>
  <c r="G637" i="1"/>
  <c r="H637" i="1"/>
  <c r="I637" i="1"/>
  <c r="J637" i="1"/>
  <c r="M637" i="1"/>
  <c r="N637" i="1"/>
  <c r="O637" i="1"/>
  <c r="P637" i="1"/>
  <c r="Q637" i="1"/>
  <c r="R637" i="1"/>
  <c r="S637" i="1"/>
  <c r="T637" i="1"/>
  <c r="U637" i="1"/>
  <c r="A638" i="1"/>
  <c r="B638" i="1"/>
  <c r="C638" i="1"/>
  <c r="D638" i="1"/>
  <c r="E638" i="1"/>
  <c r="F638" i="1"/>
  <c r="G638" i="1"/>
  <c r="H638" i="1"/>
  <c r="I638" i="1"/>
  <c r="J638" i="1"/>
  <c r="M638" i="1"/>
  <c r="N638" i="1"/>
  <c r="O638" i="1"/>
  <c r="P638" i="1"/>
  <c r="Q638" i="1"/>
  <c r="R638" i="1"/>
  <c r="S638" i="1"/>
  <c r="T638" i="1"/>
  <c r="U638" i="1"/>
  <c r="A639" i="1"/>
  <c r="B639" i="1"/>
  <c r="C639" i="1"/>
  <c r="D639" i="1"/>
  <c r="E639" i="1"/>
  <c r="F639" i="1"/>
  <c r="G639" i="1"/>
  <c r="H639" i="1"/>
  <c r="I639" i="1"/>
  <c r="J639" i="1"/>
  <c r="M639" i="1"/>
  <c r="N639" i="1"/>
  <c r="O639" i="1"/>
  <c r="P639" i="1"/>
  <c r="Q639" i="1"/>
  <c r="R639" i="1"/>
  <c r="S639" i="1"/>
  <c r="T639" i="1"/>
  <c r="U639" i="1"/>
  <c r="A640" i="1"/>
  <c r="B640" i="1"/>
  <c r="C640" i="1"/>
  <c r="D640" i="1"/>
  <c r="E640" i="1"/>
  <c r="F640" i="1"/>
  <c r="G640" i="1"/>
  <c r="H640" i="1"/>
  <c r="I640" i="1"/>
  <c r="J640" i="1"/>
  <c r="M640" i="1"/>
  <c r="N640" i="1"/>
  <c r="O640" i="1"/>
  <c r="P640" i="1"/>
  <c r="Q640" i="1"/>
  <c r="R640" i="1"/>
  <c r="S640" i="1"/>
  <c r="T640" i="1"/>
  <c r="U640" i="1"/>
  <c r="A641" i="1"/>
  <c r="B641" i="1"/>
  <c r="C641" i="1"/>
  <c r="D641" i="1"/>
  <c r="E641" i="1"/>
  <c r="F641" i="1"/>
  <c r="G641" i="1"/>
  <c r="H641" i="1"/>
  <c r="I641" i="1"/>
  <c r="J641" i="1"/>
  <c r="M641" i="1"/>
  <c r="N641" i="1"/>
  <c r="O641" i="1"/>
  <c r="P641" i="1"/>
  <c r="Q641" i="1"/>
  <c r="R641" i="1"/>
  <c r="S641" i="1"/>
  <c r="T641" i="1"/>
  <c r="U641" i="1"/>
  <c r="A642" i="1"/>
  <c r="B642" i="1"/>
  <c r="C642" i="1"/>
  <c r="D642" i="1"/>
  <c r="E642" i="1"/>
  <c r="F642" i="1"/>
  <c r="G642" i="1"/>
  <c r="H642" i="1"/>
  <c r="I642" i="1"/>
  <c r="J642" i="1"/>
  <c r="M642" i="1"/>
  <c r="N642" i="1"/>
  <c r="O642" i="1"/>
  <c r="P642" i="1"/>
  <c r="Q642" i="1"/>
  <c r="R642" i="1"/>
  <c r="S642" i="1"/>
  <c r="T642" i="1"/>
  <c r="U642" i="1"/>
  <c r="A643" i="1"/>
  <c r="B643" i="1"/>
  <c r="C643" i="1"/>
  <c r="D643" i="1"/>
  <c r="E643" i="1"/>
  <c r="F643" i="1"/>
  <c r="G643" i="1"/>
  <c r="H643" i="1"/>
  <c r="I643" i="1"/>
  <c r="J643" i="1"/>
  <c r="M643" i="1"/>
  <c r="N643" i="1"/>
  <c r="O643" i="1"/>
  <c r="P643" i="1"/>
  <c r="Q643" i="1"/>
  <c r="R643" i="1"/>
  <c r="S643" i="1"/>
  <c r="T643" i="1"/>
  <c r="U643" i="1"/>
  <c r="A575" i="1"/>
  <c r="B575" i="1"/>
  <c r="C575" i="1"/>
  <c r="D575" i="1"/>
  <c r="E575" i="1"/>
  <c r="F575" i="1"/>
  <c r="G575" i="1"/>
  <c r="H575" i="1"/>
  <c r="I575" i="1"/>
  <c r="J575" i="1"/>
  <c r="M575" i="1"/>
  <c r="N575" i="1"/>
  <c r="O575" i="1"/>
  <c r="P575" i="1"/>
  <c r="Q575" i="1"/>
  <c r="R575" i="1"/>
  <c r="S575" i="1"/>
  <c r="T575" i="1"/>
  <c r="U575" i="1"/>
  <c r="A576" i="1"/>
  <c r="B576" i="1"/>
  <c r="C576" i="1"/>
  <c r="D576" i="1"/>
  <c r="E576" i="1"/>
  <c r="F576" i="1"/>
  <c r="G576" i="1"/>
  <c r="H576" i="1"/>
  <c r="I576" i="1"/>
  <c r="J576" i="1"/>
  <c r="M576" i="1"/>
  <c r="N576" i="1"/>
  <c r="O576" i="1"/>
  <c r="P576" i="1"/>
  <c r="Q576" i="1"/>
  <c r="R576" i="1"/>
  <c r="S576" i="1"/>
  <c r="T576" i="1"/>
  <c r="U576" i="1"/>
  <c r="A577" i="1"/>
  <c r="B577" i="1"/>
  <c r="C577" i="1"/>
  <c r="D577" i="1"/>
  <c r="E577" i="1"/>
  <c r="F577" i="1"/>
  <c r="G577" i="1"/>
  <c r="H577" i="1"/>
  <c r="I577" i="1"/>
  <c r="J577" i="1"/>
  <c r="M577" i="1"/>
  <c r="N577" i="1"/>
  <c r="O577" i="1"/>
  <c r="P577" i="1"/>
  <c r="Q577" i="1"/>
  <c r="R577" i="1"/>
  <c r="S577" i="1"/>
  <c r="T577" i="1"/>
  <c r="U577" i="1"/>
  <c r="A578" i="1"/>
  <c r="B578" i="1"/>
  <c r="C578" i="1"/>
  <c r="D578" i="1"/>
  <c r="E578" i="1"/>
  <c r="F578" i="1"/>
  <c r="G578" i="1"/>
  <c r="H578" i="1"/>
  <c r="I578" i="1"/>
  <c r="J578" i="1"/>
  <c r="M578" i="1"/>
  <c r="N578" i="1"/>
  <c r="O578" i="1"/>
  <c r="P578" i="1"/>
  <c r="Q578" i="1"/>
  <c r="R578" i="1"/>
  <c r="S578" i="1"/>
  <c r="T578" i="1"/>
  <c r="U578" i="1"/>
  <c r="A579" i="1"/>
  <c r="B579" i="1"/>
  <c r="C579" i="1"/>
  <c r="D579" i="1"/>
  <c r="E579" i="1"/>
  <c r="F579" i="1"/>
  <c r="G579" i="1"/>
  <c r="H579" i="1"/>
  <c r="I579" i="1"/>
  <c r="J579" i="1"/>
  <c r="M579" i="1"/>
  <c r="N579" i="1"/>
  <c r="O579" i="1"/>
  <c r="P579" i="1"/>
  <c r="Q579" i="1"/>
  <c r="R579" i="1"/>
  <c r="S579" i="1"/>
  <c r="T579" i="1"/>
  <c r="U579" i="1"/>
  <c r="A580" i="1"/>
  <c r="B580" i="1"/>
  <c r="C580" i="1"/>
  <c r="D580" i="1"/>
  <c r="E580" i="1"/>
  <c r="F580" i="1"/>
  <c r="G580" i="1"/>
  <c r="H580" i="1"/>
  <c r="I580" i="1"/>
  <c r="J580" i="1"/>
  <c r="M580" i="1"/>
  <c r="N580" i="1"/>
  <c r="O580" i="1"/>
  <c r="P580" i="1"/>
  <c r="Q580" i="1"/>
  <c r="R580" i="1"/>
  <c r="S580" i="1"/>
  <c r="T580" i="1"/>
  <c r="U580" i="1"/>
  <c r="A582" i="1"/>
  <c r="B582" i="1"/>
  <c r="C582" i="1"/>
  <c r="D582" i="1"/>
  <c r="E582" i="1"/>
  <c r="F582" i="1"/>
  <c r="G582" i="1"/>
  <c r="H582" i="1"/>
  <c r="I582" i="1"/>
  <c r="J582" i="1"/>
  <c r="M582" i="1"/>
  <c r="N582" i="1"/>
  <c r="O582" i="1"/>
  <c r="P582" i="1"/>
  <c r="Q582" i="1"/>
  <c r="R582" i="1"/>
  <c r="S582" i="1"/>
  <c r="T582" i="1"/>
  <c r="U582" i="1"/>
  <c r="A581" i="1"/>
  <c r="B581" i="1"/>
  <c r="C581" i="1"/>
  <c r="D581" i="1"/>
  <c r="E581" i="1"/>
  <c r="F581" i="1"/>
  <c r="G581" i="1"/>
  <c r="H581" i="1"/>
  <c r="I581" i="1"/>
  <c r="J581" i="1"/>
  <c r="M581" i="1"/>
  <c r="N581" i="1"/>
  <c r="O581" i="1"/>
  <c r="P581" i="1"/>
  <c r="Q581" i="1"/>
  <c r="R581" i="1"/>
  <c r="S581" i="1"/>
  <c r="T581" i="1"/>
  <c r="U581" i="1"/>
  <c r="A514" i="1"/>
  <c r="B514" i="1"/>
  <c r="C514" i="1"/>
  <c r="D514" i="1"/>
  <c r="E514" i="1"/>
  <c r="F514" i="1"/>
  <c r="G514" i="1"/>
  <c r="H514" i="1"/>
  <c r="I514" i="1"/>
  <c r="J514" i="1"/>
  <c r="M514" i="1"/>
  <c r="N514" i="1"/>
  <c r="O514" i="1"/>
  <c r="P514" i="1"/>
  <c r="Q514" i="1"/>
  <c r="R514" i="1"/>
  <c r="S514" i="1"/>
  <c r="T514" i="1"/>
  <c r="U514" i="1"/>
  <c r="A515" i="1"/>
  <c r="B515" i="1"/>
  <c r="C515" i="1"/>
  <c r="D515" i="1"/>
  <c r="E515" i="1"/>
  <c r="F515" i="1"/>
  <c r="G515" i="1"/>
  <c r="H515" i="1"/>
  <c r="I515" i="1"/>
  <c r="J515" i="1"/>
  <c r="M515" i="1"/>
  <c r="N515" i="1"/>
  <c r="O515" i="1"/>
  <c r="P515" i="1"/>
  <c r="Q515" i="1"/>
  <c r="R515" i="1"/>
  <c r="S515" i="1"/>
  <c r="T515" i="1"/>
  <c r="U515" i="1"/>
  <c r="A516" i="1"/>
  <c r="B516" i="1"/>
  <c r="C516" i="1"/>
  <c r="D516" i="1"/>
  <c r="E516" i="1"/>
  <c r="F516" i="1"/>
  <c r="G516" i="1"/>
  <c r="H516" i="1"/>
  <c r="I516" i="1"/>
  <c r="J516" i="1"/>
  <c r="M516" i="1"/>
  <c r="N516" i="1"/>
  <c r="O516" i="1"/>
  <c r="P516" i="1"/>
  <c r="Q516" i="1"/>
  <c r="R516" i="1"/>
  <c r="S516" i="1"/>
  <c r="T516" i="1"/>
  <c r="U516" i="1"/>
  <c r="A517" i="1"/>
  <c r="B517" i="1"/>
  <c r="C517" i="1"/>
  <c r="D517" i="1"/>
  <c r="E517" i="1"/>
  <c r="F517" i="1"/>
  <c r="G517" i="1"/>
  <c r="H517" i="1"/>
  <c r="I517" i="1"/>
  <c r="J517" i="1"/>
  <c r="M517" i="1"/>
  <c r="N517" i="1"/>
  <c r="O517" i="1"/>
  <c r="P517" i="1"/>
  <c r="Q517" i="1"/>
  <c r="R517" i="1"/>
  <c r="S517" i="1"/>
  <c r="T517" i="1"/>
  <c r="U517" i="1"/>
  <c r="A518" i="1"/>
  <c r="B518" i="1"/>
  <c r="C518" i="1"/>
  <c r="D518" i="1"/>
  <c r="E518" i="1"/>
  <c r="F518" i="1"/>
  <c r="G518" i="1"/>
  <c r="H518" i="1"/>
  <c r="I518" i="1"/>
  <c r="J518" i="1"/>
  <c r="M518" i="1"/>
  <c r="N518" i="1"/>
  <c r="O518" i="1"/>
  <c r="P518" i="1"/>
  <c r="Q518" i="1"/>
  <c r="R518" i="1"/>
  <c r="S518" i="1"/>
  <c r="T518" i="1"/>
  <c r="U518" i="1"/>
  <c r="A519" i="1"/>
  <c r="B519" i="1"/>
  <c r="C519" i="1"/>
  <c r="D519" i="1"/>
  <c r="E519" i="1"/>
  <c r="F519" i="1"/>
  <c r="G519" i="1"/>
  <c r="H519" i="1"/>
  <c r="I519" i="1"/>
  <c r="J519" i="1"/>
  <c r="M519" i="1"/>
  <c r="N519" i="1"/>
  <c r="O519" i="1"/>
  <c r="P519" i="1"/>
  <c r="Q519" i="1"/>
  <c r="R519" i="1"/>
  <c r="S519" i="1"/>
  <c r="T519" i="1"/>
  <c r="U519" i="1"/>
  <c r="A520" i="1"/>
  <c r="B520" i="1"/>
  <c r="C520" i="1"/>
  <c r="D520" i="1"/>
  <c r="E520" i="1"/>
  <c r="F520" i="1"/>
  <c r="G520" i="1"/>
  <c r="H520" i="1"/>
  <c r="I520" i="1"/>
  <c r="J520" i="1"/>
  <c r="M520" i="1"/>
  <c r="N520" i="1"/>
  <c r="O520" i="1"/>
  <c r="P520" i="1"/>
  <c r="Q520" i="1"/>
  <c r="R520" i="1"/>
  <c r="S520" i="1"/>
  <c r="T520" i="1"/>
  <c r="U520" i="1"/>
  <c r="A459" i="1"/>
  <c r="B459" i="1"/>
  <c r="C459" i="1"/>
  <c r="D459" i="1"/>
  <c r="E459" i="1"/>
  <c r="F459" i="1"/>
  <c r="G459" i="1"/>
  <c r="H459" i="1"/>
  <c r="I459" i="1"/>
  <c r="J459" i="1"/>
  <c r="M459" i="1"/>
  <c r="N459" i="1"/>
  <c r="O459" i="1"/>
  <c r="P459" i="1"/>
  <c r="Q459" i="1"/>
  <c r="R459" i="1"/>
  <c r="S459" i="1"/>
  <c r="T459" i="1"/>
  <c r="U459" i="1"/>
  <c r="A458" i="1"/>
  <c r="B458" i="1"/>
  <c r="C458" i="1"/>
  <c r="D458" i="1"/>
  <c r="E458" i="1"/>
  <c r="F458" i="1"/>
  <c r="G458" i="1"/>
  <c r="H458" i="1"/>
  <c r="I458" i="1"/>
  <c r="J458" i="1"/>
  <c r="M458" i="1"/>
  <c r="N458" i="1"/>
  <c r="O458" i="1"/>
  <c r="P458" i="1"/>
  <c r="Q458" i="1"/>
  <c r="R458" i="1"/>
  <c r="S458" i="1"/>
  <c r="T458" i="1"/>
  <c r="U458" i="1"/>
  <c r="A390" i="1"/>
  <c r="B390" i="1"/>
  <c r="C390" i="1"/>
  <c r="D390" i="1"/>
  <c r="E390" i="1"/>
  <c r="F390" i="1"/>
  <c r="G390" i="1"/>
  <c r="H390" i="1"/>
  <c r="I390" i="1"/>
  <c r="J390" i="1"/>
  <c r="M390" i="1"/>
  <c r="N390" i="1"/>
  <c r="O390" i="1"/>
  <c r="P390" i="1"/>
  <c r="Q390" i="1"/>
  <c r="R390" i="1"/>
  <c r="S390" i="1"/>
  <c r="T390" i="1"/>
  <c r="U390" i="1"/>
  <c r="A391" i="1"/>
  <c r="B391" i="1"/>
  <c r="C391" i="1"/>
  <c r="D391" i="1"/>
  <c r="E391" i="1"/>
  <c r="F391" i="1"/>
  <c r="G391" i="1"/>
  <c r="H391" i="1"/>
  <c r="I391" i="1"/>
  <c r="J391" i="1"/>
  <c r="M391" i="1"/>
  <c r="N391" i="1"/>
  <c r="O391" i="1"/>
  <c r="P391" i="1"/>
  <c r="Q391" i="1"/>
  <c r="R391" i="1"/>
  <c r="S391" i="1"/>
  <c r="T391" i="1"/>
  <c r="U391" i="1"/>
  <c r="A260" i="1"/>
  <c r="B260" i="1"/>
  <c r="C260" i="1"/>
  <c r="D260" i="1"/>
  <c r="E260" i="1"/>
  <c r="F260" i="1"/>
  <c r="G260" i="1"/>
  <c r="H260" i="1"/>
  <c r="I260" i="1"/>
  <c r="J260" i="1"/>
  <c r="M260" i="1"/>
  <c r="N260" i="1"/>
  <c r="O260" i="1"/>
  <c r="P260" i="1"/>
  <c r="Q260" i="1"/>
  <c r="R260" i="1"/>
  <c r="S260" i="1"/>
  <c r="T260" i="1"/>
  <c r="U260" i="1"/>
  <c r="A190" i="1"/>
  <c r="B190" i="1"/>
  <c r="C190" i="1"/>
  <c r="D190" i="1"/>
  <c r="E190" i="1"/>
  <c r="F190" i="1"/>
  <c r="G190" i="1"/>
  <c r="H190" i="1"/>
  <c r="I190" i="1"/>
  <c r="J190" i="1"/>
  <c r="M190" i="1"/>
  <c r="N190" i="1"/>
  <c r="O190" i="1"/>
  <c r="P190" i="1"/>
  <c r="Q190" i="1"/>
  <c r="R190" i="1"/>
  <c r="S190" i="1"/>
  <c r="T190" i="1"/>
  <c r="U190" i="1"/>
  <c r="A191" i="1"/>
  <c r="B191" i="1"/>
  <c r="C191" i="1"/>
  <c r="D191" i="1"/>
  <c r="E191" i="1"/>
  <c r="F191" i="1"/>
  <c r="G191" i="1"/>
  <c r="H191" i="1"/>
  <c r="I191" i="1"/>
  <c r="J191" i="1"/>
  <c r="M191" i="1"/>
  <c r="N191" i="1"/>
  <c r="O191" i="1"/>
  <c r="P191" i="1"/>
  <c r="Q191" i="1"/>
  <c r="R191" i="1"/>
  <c r="S191" i="1"/>
  <c r="U191" i="1"/>
  <c r="A121" i="1"/>
  <c r="B121" i="1"/>
  <c r="C121" i="1"/>
  <c r="D121" i="1"/>
  <c r="E121" i="1"/>
  <c r="F121" i="1"/>
  <c r="G121" i="1"/>
  <c r="H121" i="1"/>
  <c r="I121" i="1"/>
  <c r="J121" i="1"/>
  <c r="M121" i="1"/>
  <c r="N121" i="1"/>
  <c r="O121" i="1"/>
  <c r="P121" i="1"/>
  <c r="Q121" i="1"/>
  <c r="R121" i="1"/>
  <c r="S121" i="1"/>
  <c r="T121" i="1"/>
  <c r="U121" i="1"/>
  <c r="A122" i="1"/>
  <c r="B122" i="1"/>
  <c r="C122" i="1"/>
  <c r="D122" i="1"/>
  <c r="E122" i="1"/>
  <c r="F122" i="1"/>
  <c r="G122" i="1"/>
  <c r="H122" i="1"/>
  <c r="I122" i="1"/>
  <c r="J122" i="1"/>
  <c r="M122" i="1"/>
  <c r="N122" i="1"/>
  <c r="O122" i="1"/>
  <c r="P122" i="1"/>
  <c r="Q122" i="1"/>
  <c r="R122" i="1"/>
  <c r="S122" i="1"/>
  <c r="T122" i="1"/>
  <c r="U122" i="1"/>
  <c r="A123" i="1"/>
  <c r="B123" i="1"/>
  <c r="C123" i="1"/>
  <c r="D123" i="1"/>
  <c r="E123" i="1"/>
  <c r="F123" i="1"/>
  <c r="G123" i="1"/>
  <c r="H123" i="1"/>
  <c r="I123" i="1"/>
  <c r="J123" i="1"/>
  <c r="M123" i="1"/>
  <c r="N123" i="1"/>
  <c r="O123" i="1"/>
  <c r="P123" i="1"/>
  <c r="Q123" i="1"/>
  <c r="R123" i="1"/>
  <c r="S123" i="1"/>
  <c r="T123" i="1"/>
  <c r="U123" i="1"/>
  <c r="A124" i="1"/>
  <c r="B124" i="1"/>
  <c r="C124" i="1"/>
  <c r="D124" i="1"/>
  <c r="E124" i="1"/>
  <c r="F124" i="1"/>
  <c r="G124" i="1"/>
  <c r="H124" i="1"/>
  <c r="I124" i="1"/>
  <c r="J124" i="1"/>
  <c r="M124" i="1"/>
  <c r="N124" i="1"/>
  <c r="O124" i="1"/>
  <c r="P124" i="1"/>
  <c r="Q124" i="1"/>
  <c r="R124" i="1"/>
  <c r="S124" i="1"/>
  <c r="T124" i="1"/>
  <c r="U124" i="1"/>
  <c r="A125" i="1"/>
  <c r="B125" i="1"/>
  <c r="C125" i="1"/>
  <c r="D125" i="1"/>
  <c r="E125" i="1"/>
  <c r="F125" i="1"/>
  <c r="G125" i="1"/>
  <c r="H125" i="1"/>
  <c r="I125" i="1"/>
  <c r="J125" i="1"/>
  <c r="M125" i="1"/>
  <c r="N125" i="1"/>
  <c r="O125" i="1"/>
  <c r="P125" i="1"/>
  <c r="Q125" i="1"/>
  <c r="R125" i="1"/>
  <c r="S125" i="1"/>
  <c r="T125" i="1"/>
  <c r="U125" i="1"/>
  <c r="A76" i="1"/>
  <c r="B76" i="1"/>
  <c r="C76" i="1"/>
  <c r="D76" i="1"/>
  <c r="E76" i="1"/>
  <c r="F76" i="1"/>
  <c r="G76" i="1"/>
  <c r="H76" i="1"/>
  <c r="I76" i="1"/>
  <c r="J76" i="1"/>
  <c r="M76" i="1"/>
  <c r="N76" i="1"/>
  <c r="O76" i="1"/>
  <c r="P76" i="1"/>
  <c r="Q76" i="1"/>
  <c r="R76" i="1"/>
  <c r="S76" i="1"/>
  <c r="T76" i="1"/>
  <c r="U76" i="1"/>
  <c r="A77" i="1"/>
  <c r="B77" i="1"/>
  <c r="C77" i="1"/>
  <c r="D77" i="1"/>
  <c r="E77" i="1"/>
  <c r="F77" i="1"/>
  <c r="G77" i="1"/>
  <c r="H77" i="1"/>
  <c r="I77" i="1"/>
  <c r="J77" i="1"/>
  <c r="M77" i="1"/>
  <c r="N77" i="1"/>
  <c r="O77" i="1"/>
  <c r="P77" i="1"/>
  <c r="Q77" i="1"/>
  <c r="R77" i="1"/>
  <c r="S77" i="1"/>
  <c r="T77" i="1"/>
  <c r="U77" i="1"/>
  <c r="A78" i="1"/>
  <c r="B78" i="1"/>
  <c r="C78" i="1"/>
  <c r="D78" i="1"/>
  <c r="E78" i="1"/>
  <c r="F78" i="1"/>
  <c r="G78" i="1"/>
  <c r="H78" i="1"/>
  <c r="I78" i="1"/>
  <c r="J78" i="1"/>
  <c r="M78" i="1"/>
  <c r="N78" i="1"/>
  <c r="O78" i="1"/>
  <c r="P78" i="1"/>
  <c r="Q78" i="1"/>
  <c r="R78" i="1"/>
  <c r="S78" i="1"/>
  <c r="T78" i="1"/>
  <c r="U78" i="1"/>
  <c r="A79" i="1"/>
  <c r="B79" i="1"/>
  <c r="C79" i="1"/>
  <c r="D79" i="1"/>
  <c r="E79" i="1"/>
  <c r="F79" i="1"/>
  <c r="G79" i="1"/>
  <c r="H79" i="1"/>
  <c r="I79" i="1"/>
  <c r="J79" i="1"/>
  <c r="M79" i="1"/>
  <c r="N79" i="1"/>
  <c r="O79" i="1"/>
  <c r="P79" i="1"/>
  <c r="Q79" i="1"/>
  <c r="R79" i="1"/>
  <c r="S79" i="1"/>
  <c r="T79" i="1"/>
  <c r="U79" i="1"/>
  <c r="A10" i="1"/>
  <c r="B10" i="1"/>
  <c r="C10" i="1"/>
  <c r="D10" i="1"/>
  <c r="E10" i="1"/>
  <c r="F10" i="1"/>
  <c r="G10" i="1"/>
  <c r="H10" i="1"/>
  <c r="I10" i="1"/>
  <c r="J10" i="1"/>
  <c r="M10" i="1"/>
  <c r="N10" i="1"/>
  <c r="O10" i="1"/>
  <c r="P10" i="1"/>
  <c r="Q10" i="1"/>
  <c r="R10" i="1"/>
  <c r="S10" i="1"/>
  <c r="T10" i="1"/>
  <c r="U10" i="1"/>
  <c r="A1785" i="1"/>
  <c r="B1785" i="1"/>
  <c r="C1785" i="1"/>
  <c r="D1785" i="1"/>
  <c r="E1785" i="1"/>
  <c r="F1785" i="1"/>
  <c r="G1785" i="1"/>
  <c r="H1785" i="1"/>
  <c r="I1785" i="1"/>
  <c r="J1785" i="1"/>
  <c r="M1785" i="1"/>
  <c r="N1785" i="1"/>
  <c r="O1785" i="1"/>
  <c r="P1785" i="1"/>
  <c r="Q1785" i="1"/>
  <c r="R1785" i="1"/>
  <c r="S1785" i="1"/>
  <c r="T1785" i="1"/>
  <c r="U1785" i="1"/>
  <c r="A1783" i="1"/>
  <c r="B1783" i="1"/>
  <c r="C1783" i="1"/>
  <c r="D1783" i="1"/>
  <c r="E1783" i="1"/>
  <c r="F1783" i="1"/>
  <c r="G1783" i="1"/>
  <c r="H1783" i="1"/>
  <c r="I1783" i="1"/>
  <c r="J1783" i="1"/>
  <c r="M1783" i="1"/>
  <c r="N1783" i="1"/>
  <c r="O1783" i="1"/>
  <c r="P1783" i="1"/>
  <c r="Q1783" i="1"/>
  <c r="R1783" i="1"/>
  <c r="S1783" i="1"/>
  <c r="T1783" i="1"/>
  <c r="U1783" i="1"/>
  <c r="A1784" i="1"/>
  <c r="B1784" i="1"/>
  <c r="C1784" i="1"/>
  <c r="D1784" i="1"/>
  <c r="E1784" i="1"/>
  <c r="F1784" i="1"/>
  <c r="G1784" i="1"/>
  <c r="H1784" i="1"/>
  <c r="I1784" i="1"/>
  <c r="J1784" i="1"/>
  <c r="M1784" i="1"/>
  <c r="N1784" i="1"/>
  <c r="O1784" i="1"/>
  <c r="P1784" i="1"/>
  <c r="Q1784" i="1"/>
  <c r="R1784" i="1"/>
  <c r="S1784" i="1"/>
  <c r="T1784" i="1"/>
  <c r="U1784" i="1"/>
  <c r="A1584" i="1"/>
  <c r="B1584" i="1"/>
  <c r="C1584" i="1"/>
  <c r="D1584" i="1"/>
  <c r="E1584" i="1"/>
  <c r="F1584" i="1"/>
  <c r="G1584" i="1"/>
  <c r="H1584" i="1"/>
  <c r="I1584" i="1"/>
  <c r="J1584" i="1"/>
  <c r="M1584" i="1"/>
  <c r="N1584" i="1"/>
  <c r="O1584" i="1"/>
  <c r="P1584" i="1"/>
  <c r="Q1584" i="1"/>
  <c r="R1584" i="1"/>
  <c r="S1584" i="1"/>
  <c r="T1584" i="1"/>
  <c r="U1584" i="1"/>
  <c r="A1585" i="1"/>
  <c r="B1585" i="1"/>
  <c r="C1585" i="1"/>
  <c r="D1585" i="1"/>
  <c r="E1585" i="1"/>
  <c r="F1585" i="1"/>
  <c r="G1585" i="1"/>
  <c r="H1585" i="1"/>
  <c r="I1585" i="1"/>
  <c r="J1585" i="1"/>
  <c r="M1585" i="1"/>
  <c r="N1585" i="1"/>
  <c r="O1585" i="1"/>
  <c r="P1585" i="1"/>
  <c r="Q1585" i="1"/>
  <c r="R1585" i="1"/>
  <c r="S1585" i="1"/>
  <c r="T1585" i="1"/>
  <c r="U1585" i="1"/>
  <c r="A1586" i="1"/>
  <c r="B1586" i="1"/>
  <c r="C1586" i="1"/>
  <c r="D1586" i="1"/>
  <c r="E1586" i="1"/>
  <c r="F1586" i="1"/>
  <c r="G1586" i="1"/>
  <c r="H1586" i="1"/>
  <c r="I1586" i="1"/>
  <c r="J1586" i="1"/>
  <c r="M1586" i="1"/>
  <c r="N1586" i="1"/>
  <c r="O1586" i="1"/>
  <c r="P1586" i="1"/>
  <c r="Q1586" i="1"/>
  <c r="R1586" i="1"/>
  <c r="S1586" i="1"/>
  <c r="T1586" i="1"/>
  <c r="U1586" i="1"/>
  <c r="A1587" i="1"/>
  <c r="B1587" i="1"/>
  <c r="C1587" i="1"/>
  <c r="D1587" i="1"/>
  <c r="E1587" i="1"/>
  <c r="F1587" i="1"/>
  <c r="G1587" i="1"/>
  <c r="H1587" i="1"/>
  <c r="I1587" i="1"/>
  <c r="J1587" i="1"/>
  <c r="M1587" i="1"/>
  <c r="N1587" i="1"/>
  <c r="O1587" i="1"/>
  <c r="P1587" i="1"/>
  <c r="Q1587" i="1"/>
  <c r="R1587" i="1"/>
  <c r="S1587" i="1"/>
  <c r="T1587" i="1"/>
  <c r="U1587" i="1"/>
  <c r="A1588" i="1"/>
  <c r="B1588" i="1"/>
  <c r="C1588" i="1"/>
  <c r="D1588" i="1"/>
  <c r="E1588" i="1"/>
  <c r="F1588" i="1"/>
  <c r="G1588" i="1"/>
  <c r="H1588" i="1"/>
  <c r="I1588" i="1"/>
  <c r="J1588" i="1"/>
  <c r="M1588" i="1"/>
  <c r="N1588" i="1"/>
  <c r="O1588" i="1"/>
  <c r="P1588" i="1"/>
  <c r="Q1588" i="1"/>
  <c r="R1588" i="1"/>
  <c r="S1588" i="1"/>
  <c r="T1588" i="1"/>
  <c r="U1588" i="1"/>
  <c r="A1516" i="1"/>
  <c r="B1516" i="1"/>
  <c r="C1516" i="1"/>
  <c r="D1516" i="1"/>
  <c r="E1516" i="1"/>
  <c r="F1516" i="1"/>
  <c r="G1516" i="1"/>
  <c r="H1516" i="1"/>
  <c r="I1516" i="1"/>
  <c r="J1516" i="1"/>
  <c r="M1516" i="1"/>
  <c r="N1516" i="1"/>
  <c r="O1516" i="1"/>
  <c r="P1516" i="1"/>
  <c r="Q1516" i="1"/>
  <c r="R1516" i="1"/>
  <c r="S1516" i="1"/>
  <c r="T1516" i="1"/>
  <c r="U1516" i="1"/>
  <c r="A1517" i="1"/>
  <c r="B1517" i="1"/>
  <c r="C1517" i="1"/>
  <c r="D1517" i="1"/>
  <c r="E1517" i="1"/>
  <c r="F1517" i="1"/>
  <c r="G1517" i="1"/>
  <c r="H1517" i="1"/>
  <c r="I1517" i="1"/>
  <c r="J1517" i="1"/>
  <c r="M1517" i="1"/>
  <c r="N1517" i="1"/>
  <c r="O1517" i="1"/>
  <c r="P1517" i="1"/>
  <c r="Q1517" i="1"/>
  <c r="R1517" i="1"/>
  <c r="S1517" i="1"/>
  <c r="T1517" i="1"/>
  <c r="U1517" i="1"/>
  <c r="A1518" i="1"/>
  <c r="B1518" i="1"/>
  <c r="C1518" i="1"/>
  <c r="D1518" i="1"/>
  <c r="E1518" i="1"/>
  <c r="F1518" i="1"/>
  <c r="G1518" i="1"/>
  <c r="H1518" i="1"/>
  <c r="I1518" i="1"/>
  <c r="J1518" i="1"/>
  <c r="M1518" i="1"/>
  <c r="N1518" i="1"/>
  <c r="O1518" i="1"/>
  <c r="P1518" i="1"/>
  <c r="Q1518" i="1"/>
  <c r="R1518" i="1"/>
  <c r="S1518" i="1"/>
  <c r="T1518" i="1"/>
  <c r="U1518" i="1"/>
  <c r="A1453" i="1"/>
  <c r="B1453" i="1"/>
  <c r="C1453" i="1"/>
  <c r="D1453" i="1"/>
  <c r="E1453" i="1"/>
  <c r="F1453" i="1"/>
  <c r="G1453" i="1"/>
  <c r="H1453" i="1"/>
  <c r="I1453" i="1"/>
  <c r="J1453" i="1"/>
  <c r="M1453" i="1"/>
  <c r="N1453" i="1"/>
  <c r="O1453" i="1"/>
  <c r="P1453" i="1"/>
  <c r="Q1453" i="1"/>
  <c r="R1453" i="1"/>
  <c r="S1453" i="1"/>
  <c r="T1453" i="1"/>
  <c r="U1453" i="1"/>
  <c r="A1321" i="1"/>
  <c r="B1321" i="1"/>
  <c r="C1321" i="1"/>
  <c r="D1321" i="1"/>
  <c r="E1321" i="1"/>
  <c r="F1321" i="1"/>
  <c r="G1321" i="1"/>
  <c r="H1321" i="1"/>
  <c r="I1321" i="1"/>
  <c r="J1321" i="1"/>
  <c r="M1321" i="1"/>
  <c r="N1321" i="1"/>
  <c r="O1321" i="1"/>
  <c r="P1321" i="1"/>
  <c r="Q1321" i="1"/>
  <c r="R1321" i="1"/>
  <c r="S1321" i="1"/>
  <c r="T1321" i="1"/>
  <c r="U1321" i="1"/>
  <c r="A1322" i="1"/>
  <c r="B1322" i="1"/>
  <c r="C1322" i="1"/>
  <c r="D1322" i="1"/>
  <c r="E1322" i="1"/>
  <c r="F1322" i="1"/>
  <c r="G1322" i="1"/>
  <c r="H1322" i="1"/>
  <c r="I1322" i="1"/>
  <c r="J1322" i="1"/>
  <c r="M1322" i="1"/>
  <c r="N1322" i="1"/>
  <c r="O1322" i="1"/>
  <c r="P1322" i="1"/>
  <c r="Q1322" i="1"/>
  <c r="R1322" i="1"/>
  <c r="S1322" i="1"/>
  <c r="T1322" i="1"/>
  <c r="U1322" i="1"/>
  <c r="A1324" i="1"/>
  <c r="B1324" i="1"/>
  <c r="C1324" i="1"/>
  <c r="D1324" i="1"/>
  <c r="E1324" i="1"/>
  <c r="F1324" i="1"/>
  <c r="G1324" i="1"/>
  <c r="H1324" i="1"/>
  <c r="I1324" i="1"/>
  <c r="J1324" i="1"/>
  <c r="M1324" i="1"/>
  <c r="N1324" i="1"/>
  <c r="O1324" i="1"/>
  <c r="P1324" i="1"/>
  <c r="Q1324" i="1"/>
  <c r="R1324" i="1"/>
  <c r="S1324" i="1"/>
  <c r="T1324" i="1"/>
  <c r="U1324" i="1"/>
  <c r="A1323" i="1"/>
  <c r="B1323" i="1"/>
  <c r="C1323" i="1"/>
  <c r="D1323" i="1"/>
  <c r="E1323" i="1"/>
  <c r="F1323" i="1"/>
  <c r="G1323" i="1"/>
  <c r="H1323" i="1"/>
  <c r="I1323" i="1"/>
  <c r="J1323" i="1"/>
  <c r="M1323" i="1"/>
  <c r="N1323" i="1"/>
  <c r="O1323" i="1"/>
  <c r="P1323" i="1"/>
  <c r="Q1323" i="1"/>
  <c r="R1323" i="1"/>
  <c r="S1323" i="1"/>
  <c r="T1323" i="1"/>
  <c r="U1323" i="1"/>
  <c r="A1146" i="1"/>
  <c r="B1146" i="1"/>
  <c r="C1146" i="1"/>
  <c r="D1146" i="1"/>
  <c r="E1146" i="1"/>
  <c r="F1146" i="1"/>
  <c r="G1146" i="1"/>
  <c r="H1146" i="1"/>
  <c r="I1146" i="1"/>
  <c r="J1146" i="1"/>
  <c r="M1146" i="1"/>
  <c r="N1146" i="1"/>
  <c r="O1146" i="1"/>
  <c r="P1146" i="1"/>
  <c r="Q1146" i="1"/>
  <c r="R1146" i="1"/>
  <c r="S1146" i="1"/>
  <c r="T1146" i="1"/>
  <c r="U1146" i="1"/>
  <c r="A1147" i="1"/>
  <c r="B1147" i="1"/>
  <c r="C1147" i="1"/>
  <c r="D1147" i="1"/>
  <c r="E1147" i="1"/>
  <c r="F1147" i="1"/>
  <c r="G1147" i="1"/>
  <c r="H1147" i="1"/>
  <c r="I1147" i="1"/>
  <c r="J1147" i="1"/>
  <c r="M1147" i="1"/>
  <c r="N1147" i="1"/>
  <c r="O1147" i="1"/>
  <c r="P1147" i="1"/>
  <c r="Q1147" i="1"/>
  <c r="R1147" i="1"/>
  <c r="S1147" i="1"/>
  <c r="T1147" i="1"/>
  <c r="U1147" i="1"/>
  <c r="A1093" i="1"/>
  <c r="B1093" i="1"/>
  <c r="C1093" i="1"/>
  <c r="D1093" i="1"/>
  <c r="E1093" i="1"/>
  <c r="F1093" i="1"/>
  <c r="G1093" i="1"/>
  <c r="H1093" i="1"/>
  <c r="I1093" i="1"/>
  <c r="J1093" i="1"/>
  <c r="M1093" i="1"/>
  <c r="N1093" i="1"/>
  <c r="O1093" i="1"/>
  <c r="P1093" i="1"/>
  <c r="Q1093" i="1"/>
  <c r="R1093" i="1"/>
  <c r="S1093" i="1"/>
  <c r="T1093" i="1"/>
  <c r="U1093" i="1"/>
  <c r="A1094" i="1"/>
  <c r="B1094" i="1"/>
  <c r="C1094" i="1"/>
  <c r="D1094" i="1"/>
  <c r="E1094" i="1"/>
  <c r="F1094" i="1"/>
  <c r="G1094" i="1"/>
  <c r="H1094" i="1"/>
  <c r="I1094" i="1"/>
  <c r="J1094" i="1"/>
  <c r="M1094" i="1"/>
  <c r="N1094" i="1"/>
  <c r="O1094" i="1"/>
  <c r="P1094" i="1"/>
  <c r="Q1094" i="1"/>
  <c r="R1094" i="1"/>
  <c r="S1094" i="1"/>
  <c r="T1094" i="1"/>
  <c r="U1094" i="1"/>
  <c r="A1095" i="1"/>
  <c r="B1095" i="1"/>
  <c r="C1095" i="1"/>
  <c r="D1095" i="1"/>
  <c r="E1095" i="1"/>
  <c r="F1095" i="1"/>
  <c r="G1095" i="1"/>
  <c r="H1095" i="1"/>
  <c r="I1095" i="1"/>
  <c r="J1095" i="1"/>
  <c r="M1095" i="1"/>
  <c r="N1095" i="1"/>
  <c r="O1095" i="1"/>
  <c r="P1095" i="1"/>
  <c r="Q1095" i="1"/>
  <c r="R1095" i="1"/>
  <c r="S1095" i="1"/>
  <c r="T1095" i="1"/>
  <c r="U1095" i="1"/>
  <c r="A1012" i="1"/>
  <c r="B1012" i="1"/>
  <c r="C1012" i="1"/>
  <c r="D1012" i="1"/>
  <c r="E1012" i="1"/>
  <c r="F1012" i="1"/>
  <c r="G1012" i="1"/>
  <c r="H1012" i="1"/>
  <c r="I1012" i="1"/>
  <c r="J1012" i="1"/>
  <c r="M1012" i="1"/>
  <c r="N1012" i="1"/>
  <c r="O1012" i="1"/>
  <c r="P1012" i="1"/>
  <c r="Q1012" i="1"/>
  <c r="R1012" i="1"/>
  <c r="S1012" i="1"/>
  <c r="T1012" i="1"/>
  <c r="U1012" i="1"/>
  <c r="A921" i="1"/>
  <c r="B921" i="1"/>
  <c r="C921" i="1"/>
  <c r="D921" i="1"/>
  <c r="E921" i="1"/>
  <c r="F921" i="1"/>
  <c r="G921" i="1"/>
  <c r="H921" i="1"/>
  <c r="I921" i="1"/>
  <c r="J921" i="1"/>
  <c r="M921" i="1"/>
  <c r="N921" i="1"/>
  <c r="O921" i="1"/>
  <c r="P921" i="1"/>
  <c r="Q921" i="1"/>
  <c r="R921" i="1"/>
  <c r="S921" i="1"/>
  <c r="T921" i="1"/>
  <c r="U921" i="1"/>
  <c r="A922" i="1"/>
  <c r="B922" i="1"/>
  <c r="C922" i="1"/>
  <c r="D922" i="1"/>
  <c r="E922" i="1"/>
  <c r="F922" i="1"/>
  <c r="G922" i="1"/>
  <c r="H922" i="1"/>
  <c r="I922" i="1"/>
  <c r="J922" i="1"/>
  <c r="M922" i="1"/>
  <c r="N922" i="1"/>
  <c r="O922" i="1"/>
  <c r="P922" i="1"/>
  <c r="Q922" i="1"/>
  <c r="R922" i="1"/>
  <c r="S922" i="1"/>
  <c r="T922" i="1"/>
  <c r="U922" i="1"/>
  <c r="A923" i="1"/>
  <c r="B923" i="1"/>
  <c r="C923" i="1"/>
  <c r="D923" i="1"/>
  <c r="E923" i="1"/>
  <c r="F923" i="1"/>
  <c r="G923" i="1"/>
  <c r="H923" i="1"/>
  <c r="I923" i="1"/>
  <c r="J923" i="1"/>
  <c r="M923" i="1"/>
  <c r="N923" i="1"/>
  <c r="O923" i="1"/>
  <c r="P923" i="1"/>
  <c r="Q923" i="1"/>
  <c r="R923" i="1"/>
  <c r="S923" i="1"/>
  <c r="T923" i="1"/>
  <c r="U923" i="1"/>
  <c r="A925" i="1"/>
  <c r="B925" i="1"/>
  <c r="C925" i="1"/>
  <c r="D925" i="1"/>
  <c r="E925" i="1"/>
  <c r="F925" i="1"/>
  <c r="G925" i="1"/>
  <c r="H925" i="1"/>
  <c r="I925" i="1"/>
  <c r="J925" i="1"/>
  <c r="M925" i="1"/>
  <c r="N925" i="1"/>
  <c r="O925" i="1"/>
  <c r="P925" i="1"/>
  <c r="Q925" i="1"/>
  <c r="R925" i="1"/>
  <c r="S925" i="1"/>
  <c r="T925" i="1"/>
  <c r="U925" i="1"/>
  <c r="A924" i="1"/>
  <c r="B924" i="1"/>
  <c r="C924" i="1"/>
  <c r="D924" i="1"/>
  <c r="E924" i="1"/>
  <c r="F924" i="1"/>
  <c r="G924" i="1"/>
  <c r="H924" i="1"/>
  <c r="I924" i="1"/>
  <c r="J924" i="1"/>
  <c r="M924" i="1"/>
  <c r="N924" i="1"/>
  <c r="O924" i="1"/>
  <c r="P924" i="1"/>
  <c r="Q924" i="1"/>
  <c r="R924" i="1"/>
  <c r="S924" i="1"/>
  <c r="T924" i="1"/>
  <c r="U924" i="1"/>
  <c r="A877" i="1"/>
  <c r="B877" i="1"/>
  <c r="C877" i="1"/>
  <c r="D877" i="1"/>
  <c r="E877" i="1"/>
  <c r="F877" i="1"/>
  <c r="G877" i="1"/>
  <c r="H877" i="1"/>
  <c r="I877" i="1"/>
  <c r="J877" i="1"/>
  <c r="M877" i="1"/>
  <c r="N877" i="1"/>
  <c r="O877" i="1"/>
  <c r="P877" i="1"/>
  <c r="Q877" i="1"/>
  <c r="R877" i="1"/>
  <c r="S877" i="1"/>
  <c r="T877" i="1"/>
  <c r="U877" i="1"/>
  <c r="A878" i="1"/>
  <c r="B878" i="1"/>
  <c r="C878" i="1"/>
  <c r="D878" i="1"/>
  <c r="E878" i="1"/>
  <c r="F878" i="1"/>
  <c r="G878" i="1"/>
  <c r="H878" i="1"/>
  <c r="I878" i="1"/>
  <c r="J878" i="1"/>
  <c r="M878" i="1"/>
  <c r="N878" i="1"/>
  <c r="O878" i="1"/>
  <c r="P878" i="1"/>
  <c r="Q878" i="1"/>
  <c r="R878" i="1"/>
  <c r="S878" i="1"/>
  <c r="T878" i="1"/>
  <c r="U878" i="1"/>
  <c r="A883" i="1"/>
  <c r="B883" i="1"/>
  <c r="C883" i="1"/>
  <c r="D883" i="1"/>
  <c r="E883" i="1"/>
  <c r="F883" i="1"/>
  <c r="G883" i="1"/>
  <c r="H883" i="1"/>
  <c r="I883" i="1"/>
  <c r="J883" i="1"/>
  <c r="M883" i="1"/>
  <c r="N883" i="1"/>
  <c r="O883" i="1"/>
  <c r="P883" i="1"/>
  <c r="Q883" i="1"/>
  <c r="R883" i="1"/>
  <c r="S883" i="1"/>
  <c r="T883" i="1"/>
  <c r="U883" i="1"/>
  <c r="A879" i="1"/>
  <c r="B879" i="1"/>
  <c r="C879" i="1"/>
  <c r="D879" i="1"/>
  <c r="E879" i="1"/>
  <c r="F879" i="1"/>
  <c r="G879" i="1"/>
  <c r="H879" i="1"/>
  <c r="I879" i="1"/>
  <c r="J879" i="1"/>
  <c r="M879" i="1"/>
  <c r="N879" i="1"/>
  <c r="O879" i="1"/>
  <c r="P879" i="1"/>
  <c r="Q879" i="1"/>
  <c r="R879" i="1"/>
  <c r="S879" i="1"/>
  <c r="T879" i="1"/>
  <c r="U879" i="1"/>
  <c r="A880" i="1"/>
  <c r="B880" i="1"/>
  <c r="C880" i="1"/>
  <c r="D880" i="1"/>
  <c r="E880" i="1"/>
  <c r="F880" i="1"/>
  <c r="G880" i="1"/>
  <c r="H880" i="1"/>
  <c r="I880" i="1"/>
  <c r="J880" i="1"/>
  <c r="M880" i="1"/>
  <c r="N880" i="1"/>
  <c r="O880" i="1"/>
  <c r="P880" i="1"/>
  <c r="Q880" i="1"/>
  <c r="R880" i="1"/>
  <c r="S880" i="1"/>
  <c r="T880" i="1"/>
  <c r="U880" i="1"/>
  <c r="A881" i="1"/>
  <c r="B881" i="1"/>
  <c r="C881" i="1"/>
  <c r="D881" i="1"/>
  <c r="E881" i="1"/>
  <c r="F881" i="1"/>
  <c r="G881" i="1"/>
  <c r="H881" i="1"/>
  <c r="I881" i="1"/>
  <c r="J881" i="1"/>
  <c r="M881" i="1"/>
  <c r="N881" i="1"/>
  <c r="O881" i="1"/>
  <c r="P881" i="1"/>
  <c r="Q881" i="1"/>
  <c r="R881" i="1"/>
  <c r="S881" i="1"/>
  <c r="T881" i="1"/>
  <c r="U881" i="1"/>
  <c r="A882" i="1"/>
  <c r="B882" i="1"/>
  <c r="C882" i="1"/>
  <c r="D882" i="1"/>
  <c r="E882" i="1"/>
  <c r="F882" i="1"/>
  <c r="G882" i="1"/>
  <c r="H882" i="1"/>
  <c r="I882" i="1"/>
  <c r="J882" i="1"/>
  <c r="M882" i="1"/>
  <c r="N882" i="1"/>
  <c r="O882" i="1"/>
  <c r="P882" i="1"/>
  <c r="Q882" i="1"/>
  <c r="R882" i="1"/>
  <c r="S882" i="1"/>
  <c r="T882" i="1"/>
  <c r="U882" i="1"/>
  <c r="A876" i="1"/>
  <c r="B876" i="1"/>
  <c r="C876" i="1"/>
  <c r="D876" i="1"/>
  <c r="E876" i="1"/>
  <c r="F876" i="1"/>
  <c r="G876" i="1"/>
  <c r="H876" i="1"/>
  <c r="I876" i="1"/>
  <c r="J876" i="1"/>
  <c r="M876" i="1"/>
  <c r="N876" i="1"/>
  <c r="O876" i="1"/>
  <c r="Q876" i="1"/>
  <c r="R876" i="1"/>
  <c r="S876" i="1"/>
  <c r="T876" i="1"/>
  <c r="U876" i="1"/>
  <c r="A711" i="1"/>
  <c r="B711" i="1"/>
  <c r="C711" i="1"/>
  <c r="D711" i="1"/>
  <c r="E711" i="1"/>
  <c r="F711" i="1"/>
  <c r="G711" i="1"/>
  <c r="H711" i="1"/>
  <c r="I711" i="1"/>
  <c r="J711" i="1"/>
  <c r="M711" i="1"/>
  <c r="N711" i="1"/>
  <c r="O711" i="1"/>
  <c r="P711" i="1"/>
  <c r="Q711" i="1"/>
  <c r="R711" i="1"/>
  <c r="S711" i="1"/>
  <c r="T711" i="1"/>
  <c r="U711" i="1"/>
  <c r="A710" i="1"/>
  <c r="B710" i="1"/>
  <c r="C710" i="1"/>
  <c r="D710" i="1"/>
  <c r="E710" i="1"/>
  <c r="F710" i="1"/>
  <c r="G710" i="1"/>
  <c r="H710" i="1"/>
  <c r="I710" i="1"/>
  <c r="J710" i="1"/>
  <c r="M710" i="1"/>
  <c r="N710" i="1"/>
  <c r="O710" i="1"/>
  <c r="P710" i="1"/>
  <c r="Q710" i="1"/>
  <c r="R710" i="1"/>
  <c r="S710" i="1"/>
  <c r="T710" i="1"/>
  <c r="U710" i="1"/>
  <c r="A708" i="1"/>
  <c r="B708" i="1"/>
  <c r="C708" i="1"/>
  <c r="D708" i="1"/>
  <c r="E708" i="1"/>
  <c r="F708" i="1"/>
  <c r="G708" i="1"/>
  <c r="H708" i="1"/>
  <c r="I708" i="1"/>
  <c r="J708" i="1"/>
  <c r="M708" i="1"/>
  <c r="N708" i="1"/>
  <c r="O708" i="1"/>
  <c r="P708" i="1"/>
  <c r="Q708" i="1"/>
  <c r="R708" i="1"/>
  <c r="S708" i="1"/>
  <c r="T708" i="1"/>
  <c r="U708" i="1"/>
  <c r="A709" i="1"/>
  <c r="B709" i="1"/>
  <c r="C709" i="1"/>
  <c r="D709" i="1"/>
  <c r="E709" i="1"/>
  <c r="F709" i="1"/>
  <c r="G709" i="1"/>
  <c r="H709" i="1"/>
  <c r="I709" i="1"/>
  <c r="J709" i="1"/>
  <c r="M709" i="1"/>
  <c r="N709" i="1"/>
  <c r="O709" i="1"/>
  <c r="P709" i="1"/>
  <c r="Q709" i="1"/>
  <c r="R709" i="1"/>
  <c r="S709" i="1"/>
  <c r="T709" i="1"/>
  <c r="U709" i="1"/>
  <c r="A633" i="1"/>
  <c r="B633" i="1"/>
  <c r="C633" i="1"/>
  <c r="D633" i="1"/>
  <c r="E633" i="1"/>
  <c r="F633" i="1"/>
  <c r="G633" i="1"/>
  <c r="H633" i="1"/>
  <c r="I633" i="1"/>
  <c r="J633" i="1"/>
  <c r="M633" i="1"/>
  <c r="N633" i="1"/>
  <c r="O633" i="1"/>
  <c r="P633" i="1"/>
  <c r="Q633" i="1"/>
  <c r="R633" i="1"/>
  <c r="S633" i="1"/>
  <c r="T633" i="1"/>
  <c r="U633" i="1"/>
  <c r="A634" i="1"/>
  <c r="B634" i="1"/>
  <c r="C634" i="1"/>
  <c r="D634" i="1"/>
  <c r="E634" i="1"/>
  <c r="F634" i="1"/>
  <c r="G634" i="1"/>
  <c r="H634" i="1"/>
  <c r="I634" i="1"/>
  <c r="J634" i="1"/>
  <c r="M634" i="1"/>
  <c r="N634" i="1"/>
  <c r="O634" i="1"/>
  <c r="P634" i="1"/>
  <c r="Q634" i="1"/>
  <c r="R634" i="1"/>
  <c r="S634" i="1"/>
  <c r="T634" i="1"/>
  <c r="U634" i="1"/>
  <c r="A570" i="1"/>
  <c r="B570" i="1"/>
  <c r="C570" i="1"/>
  <c r="D570" i="1"/>
  <c r="E570" i="1"/>
  <c r="F570" i="1"/>
  <c r="G570" i="1"/>
  <c r="H570" i="1"/>
  <c r="I570" i="1"/>
  <c r="J570" i="1"/>
  <c r="M570" i="1"/>
  <c r="N570" i="1"/>
  <c r="O570" i="1"/>
  <c r="P570" i="1"/>
  <c r="Q570" i="1"/>
  <c r="R570" i="1"/>
  <c r="S570" i="1"/>
  <c r="T570" i="1"/>
  <c r="U570" i="1"/>
  <c r="A571" i="1"/>
  <c r="B571" i="1"/>
  <c r="C571" i="1"/>
  <c r="D571" i="1"/>
  <c r="E571" i="1"/>
  <c r="F571" i="1"/>
  <c r="G571" i="1"/>
  <c r="H571" i="1"/>
  <c r="I571" i="1"/>
  <c r="J571" i="1"/>
  <c r="M571" i="1"/>
  <c r="N571" i="1"/>
  <c r="O571" i="1"/>
  <c r="P571" i="1"/>
  <c r="Q571" i="1"/>
  <c r="R571" i="1"/>
  <c r="S571" i="1"/>
  <c r="T571" i="1"/>
  <c r="U571" i="1"/>
  <c r="A572" i="1"/>
  <c r="B572" i="1"/>
  <c r="C572" i="1"/>
  <c r="D572" i="1"/>
  <c r="E572" i="1"/>
  <c r="F572" i="1"/>
  <c r="G572" i="1"/>
  <c r="H572" i="1"/>
  <c r="I572" i="1"/>
  <c r="J572" i="1"/>
  <c r="M572" i="1"/>
  <c r="N572" i="1"/>
  <c r="O572" i="1"/>
  <c r="P572" i="1"/>
  <c r="Q572" i="1"/>
  <c r="R572" i="1"/>
  <c r="S572" i="1"/>
  <c r="T572" i="1"/>
  <c r="U572" i="1"/>
  <c r="A573" i="1"/>
  <c r="B573" i="1"/>
  <c r="C573" i="1"/>
  <c r="D573" i="1"/>
  <c r="E573" i="1"/>
  <c r="F573" i="1"/>
  <c r="G573" i="1"/>
  <c r="H573" i="1"/>
  <c r="I573" i="1"/>
  <c r="J573" i="1"/>
  <c r="M573" i="1"/>
  <c r="N573" i="1"/>
  <c r="O573" i="1"/>
  <c r="P573" i="1"/>
  <c r="Q573" i="1"/>
  <c r="R573" i="1"/>
  <c r="S573" i="1"/>
  <c r="U573" i="1"/>
  <c r="A448" i="1"/>
  <c r="B448" i="1"/>
  <c r="C448" i="1"/>
  <c r="D448" i="1"/>
  <c r="E448" i="1"/>
  <c r="F448" i="1"/>
  <c r="G448" i="1"/>
  <c r="H448" i="1"/>
  <c r="I448" i="1"/>
  <c r="J448" i="1"/>
  <c r="M448" i="1"/>
  <c r="N448" i="1"/>
  <c r="O448" i="1"/>
  <c r="P448" i="1"/>
  <c r="Q448" i="1"/>
  <c r="R448" i="1"/>
  <c r="S448" i="1"/>
  <c r="T448" i="1"/>
  <c r="U448" i="1"/>
  <c r="A449" i="1"/>
  <c r="B449" i="1"/>
  <c r="C449" i="1"/>
  <c r="D449" i="1"/>
  <c r="E449" i="1"/>
  <c r="F449" i="1"/>
  <c r="G449" i="1"/>
  <c r="H449" i="1"/>
  <c r="I449" i="1"/>
  <c r="J449" i="1"/>
  <c r="M449" i="1"/>
  <c r="N449" i="1"/>
  <c r="O449" i="1"/>
  <c r="P449" i="1"/>
  <c r="Q449" i="1"/>
  <c r="R449" i="1"/>
  <c r="S449" i="1"/>
  <c r="T449" i="1"/>
  <c r="U449" i="1"/>
  <c r="A450" i="1"/>
  <c r="B450" i="1"/>
  <c r="C450" i="1"/>
  <c r="D450" i="1"/>
  <c r="E450" i="1"/>
  <c r="F450" i="1"/>
  <c r="G450" i="1"/>
  <c r="H450" i="1"/>
  <c r="I450" i="1"/>
  <c r="J450" i="1"/>
  <c r="M450" i="1"/>
  <c r="N450" i="1"/>
  <c r="O450" i="1"/>
  <c r="P450" i="1"/>
  <c r="Q450" i="1"/>
  <c r="R450" i="1"/>
  <c r="S450" i="1"/>
  <c r="T450" i="1"/>
  <c r="U450" i="1"/>
  <c r="A451" i="1"/>
  <c r="B451" i="1"/>
  <c r="C451" i="1"/>
  <c r="D451" i="1"/>
  <c r="E451" i="1"/>
  <c r="F451" i="1"/>
  <c r="G451" i="1"/>
  <c r="H451" i="1"/>
  <c r="I451" i="1"/>
  <c r="J451" i="1"/>
  <c r="M451" i="1"/>
  <c r="N451" i="1"/>
  <c r="O451" i="1"/>
  <c r="P451" i="1"/>
  <c r="Q451" i="1"/>
  <c r="R451" i="1"/>
  <c r="S451" i="1"/>
  <c r="T451" i="1"/>
  <c r="U451" i="1"/>
  <c r="A308" i="1"/>
  <c r="B308" i="1"/>
  <c r="C308" i="1"/>
  <c r="D308" i="1"/>
  <c r="E308" i="1"/>
  <c r="F308" i="1"/>
  <c r="G308" i="1"/>
  <c r="H308" i="1"/>
  <c r="I308" i="1"/>
  <c r="J308" i="1"/>
  <c r="M308" i="1"/>
  <c r="N308" i="1"/>
  <c r="O308" i="1"/>
  <c r="P308" i="1"/>
  <c r="Q308" i="1"/>
  <c r="R308" i="1"/>
  <c r="S308" i="1"/>
  <c r="T308" i="1"/>
  <c r="U308" i="1"/>
  <c r="A253" i="1"/>
  <c r="B253" i="1"/>
  <c r="C253" i="1"/>
  <c r="D253" i="1"/>
  <c r="E253" i="1"/>
  <c r="F253" i="1"/>
  <c r="G253" i="1"/>
  <c r="H253" i="1"/>
  <c r="I253" i="1"/>
  <c r="J253" i="1"/>
  <c r="M253" i="1"/>
  <c r="N253" i="1"/>
  <c r="O253" i="1"/>
  <c r="P253" i="1"/>
  <c r="Q253" i="1"/>
  <c r="R253" i="1"/>
  <c r="S253" i="1"/>
  <c r="T253" i="1"/>
  <c r="U253" i="1"/>
  <c r="A257" i="1"/>
  <c r="B257" i="1"/>
  <c r="C257" i="1"/>
  <c r="D257" i="1"/>
  <c r="E257" i="1"/>
  <c r="F257" i="1"/>
  <c r="G257" i="1"/>
  <c r="H257" i="1"/>
  <c r="I257" i="1"/>
  <c r="J257" i="1"/>
  <c r="M257" i="1"/>
  <c r="N257" i="1"/>
  <c r="O257" i="1"/>
  <c r="P257" i="1"/>
  <c r="Q257" i="1"/>
  <c r="R257" i="1"/>
  <c r="S257" i="1"/>
  <c r="T257" i="1"/>
  <c r="U257" i="1"/>
  <c r="A254" i="1"/>
  <c r="B254" i="1"/>
  <c r="C254" i="1"/>
  <c r="D254" i="1"/>
  <c r="E254" i="1"/>
  <c r="F254" i="1"/>
  <c r="G254" i="1"/>
  <c r="H254" i="1"/>
  <c r="I254" i="1"/>
  <c r="J254" i="1"/>
  <c r="M254" i="1"/>
  <c r="N254" i="1"/>
  <c r="O254" i="1"/>
  <c r="P254" i="1"/>
  <c r="Q254" i="1"/>
  <c r="R254" i="1"/>
  <c r="S254" i="1"/>
  <c r="T254" i="1"/>
  <c r="U254" i="1"/>
  <c r="A255" i="1"/>
  <c r="B255" i="1"/>
  <c r="C255" i="1"/>
  <c r="D255" i="1"/>
  <c r="E255" i="1"/>
  <c r="F255" i="1"/>
  <c r="G255" i="1"/>
  <c r="H255" i="1"/>
  <c r="I255" i="1"/>
  <c r="J255" i="1"/>
  <c r="M255" i="1"/>
  <c r="N255" i="1"/>
  <c r="O255" i="1"/>
  <c r="P255" i="1"/>
  <c r="Q255" i="1"/>
  <c r="R255" i="1"/>
  <c r="S255" i="1"/>
  <c r="T255" i="1"/>
  <c r="U255" i="1"/>
  <c r="A256" i="1"/>
  <c r="B256" i="1"/>
  <c r="C256" i="1"/>
  <c r="D256" i="1"/>
  <c r="E256" i="1"/>
  <c r="F256" i="1"/>
  <c r="G256" i="1"/>
  <c r="H256" i="1"/>
  <c r="I256" i="1"/>
  <c r="J256" i="1"/>
  <c r="M256" i="1"/>
  <c r="N256" i="1"/>
  <c r="O256" i="1"/>
  <c r="P256" i="1"/>
  <c r="Q256" i="1"/>
  <c r="R256" i="1"/>
  <c r="S256" i="1"/>
  <c r="T256" i="1"/>
  <c r="U256" i="1"/>
  <c r="A176" i="1"/>
  <c r="B176" i="1"/>
  <c r="C176" i="1"/>
  <c r="D176" i="1"/>
  <c r="E176" i="1"/>
  <c r="F176" i="1"/>
  <c r="G176" i="1"/>
  <c r="H176" i="1"/>
  <c r="I176" i="1"/>
  <c r="J176" i="1"/>
  <c r="M176" i="1"/>
  <c r="N176" i="1"/>
  <c r="O176" i="1"/>
  <c r="P176" i="1"/>
  <c r="Q176" i="1"/>
  <c r="R176" i="1"/>
  <c r="S176" i="1"/>
  <c r="T176" i="1"/>
  <c r="U176" i="1"/>
  <c r="A177" i="1"/>
  <c r="B177" i="1"/>
  <c r="C177" i="1"/>
  <c r="D177" i="1"/>
  <c r="E177" i="1"/>
  <c r="F177" i="1"/>
  <c r="G177" i="1"/>
  <c r="H177" i="1"/>
  <c r="I177" i="1"/>
  <c r="J177" i="1"/>
  <c r="M177" i="1"/>
  <c r="N177" i="1"/>
  <c r="O177" i="1"/>
  <c r="P177" i="1"/>
  <c r="Q177" i="1"/>
  <c r="R177" i="1"/>
  <c r="S177" i="1"/>
  <c r="T177" i="1"/>
  <c r="U177" i="1"/>
  <c r="A178" i="1"/>
  <c r="B178" i="1"/>
  <c r="C178" i="1"/>
  <c r="D178" i="1"/>
  <c r="E178" i="1"/>
  <c r="F178" i="1"/>
  <c r="G178" i="1"/>
  <c r="H178" i="1"/>
  <c r="I178" i="1"/>
  <c r="J178" i="1"/>
  <c r="M178" i="1"/>
  <c r="N178" i="1"/>
  <c r="O178" i="1"/>
  <c r="P178" i="1"/>
  <c r="Q178" i="1"/>
  <c r="R178" i="1"/>
  <c r="S178" i="1"/>
  <c r="T178" i="1"/>
  <c r="U178" i="1"/>
  <c r="A179" i="1"/>
  <c r="B179" i="1"/>
  <c r="C179" i="1"/>
  <c r="D179" i="1"/>
  <c r="E179" i="1"/>
  <c r="F179" i="1"/>
  <c r="G179" i="1"/>
  <c r="H179" i="1"/>
  <c r="I179" i="1"/>
  <c r="J179" i="1"/>
  <c r="M179" i="1"/>
  <c r="N179" i="1"/>
  <c r="O179" i="1"/>
  <c r="P179" i="1"/>
  <c r="Q179" i="1"/>
  <c r="R179" i="1"/>
  <c r="S179" i="1"/>
  <c r="T179" i="1"/>
  <c r="U179" i="1"/>
  <c r="A180" i="1"/>
  <c r="B180" i="1"/>
  <c r="C180" i="1"/>
  <c r="D180" i="1"/>
  <c r="E180" i="1"/>
  <c r="F180" i="1"/>
  <c r="G180" i="1"/>
  <c r="H180" i="1"/>
  <c r="I180" i="1"/>
  <c r="J180" i="1"/>
  <c r="M180" i="1"/>
  <c r="N180" i="1"/>
  <c r="O180" i="1"/>
  <c r="P180" i="1"/>
  <c r="Q180" i="1"/>
  <c r="R180" i="1"/>
  <c r="S180" i="1"/>
  <c r="U180" i="1"/>
  <c r="A181" i="1"/>
  <c r="B181" i="1"/>
  <c r="C181" i="1"/>
  <c r="D181" i="1"/>
  <c r="E181" i="1"/>
  <c r="F181" i="1"/>
  <c r="G181" i="1"/>
  <c r="H181" i="1"/>
  <c r="I181" i="1"/>
  <c r="J181" i="1"/>
  <c r="M181" i="1"/>
  <c r="N181" i="1"/>
  <c r="O181" i="1"/>
  <c r="P181" i="1"/>
  <c r="Q181" i="1"/>
  <c r="R181" i="1"/>
  <c r="S181" i="1"/>
  <c r="T181" i="1"/>
  <c r="U181" i="1"/>
  <c r="A182" i="1"/>
  <c r="B182" i="1"/>
  <c r="C182" i="1"/>
  <c r="D182" i="1"/>
  <c r="E182" i="1"/>
  <c r="F182" i="1"/>
  <c r="G182" i="1"/>
  <c r="H182" i="1"/>
  <c r="I182" i="1"/>
  <c r="J182" i="1"/>
  <c r="M182" i="1"/>
  <c r="N182" i="1"/>
  <c r="O182" i="1"/>
  <c r="P182" i="1"/>
  <c r="Q182" i="1"/>
  <c r="R182" i="1"/>
  <c r="S182" i="1"/>
  <c r="T182" i="1"/>
  <c r="U182" i="1"/>
  <c r="A183" i="1"/>
  <c r="B183" i="1"/>
  <c r="C183" i="1"/>
  <c r="D183" i="1"/>
  <c r="E183" i="1"/>
  <c r="F183" i="1"/>
  <c r="G183" i="1"/>
  <c r="H183" i="1"/>
  <c r="I183" i="1"/>
  <c r="J183" i="1"/>
  <c r="M183" i="1"/>
  <c r="N183" i="1"/>
  <c r="O183" i="1"/>
  <c r="P183" i="1"/>
  <c r="Q183" i="1"/>
  <c r="R183" i="1"/>
  <c r="S183" i="1"/>
  <c r="T183" i="1"/>
  <c r="U183" i="1"/>
  <c r="A114" i="1"/>
  <c r="B114" i="1"/>
  <c r="C114" i="1"/>
  <c r="D114" i="1"/>
  <c r="E114" i="1"/>
  <c r="F114" i="1"/>
  <c r="G114" i="1"/>
  <c r="H114" i="1"/>
  <c r="I114" i="1"/>
  <c r="J114" i="1"/>
  <c r="M114" i="1"/>
  <c r="N114" i="1"/>
  <c r="O114" i="1"/>
  <c r="P114" i="1"/>
  <c r="Q114" i="1"/>
  <c r="R114" i="1"/>
  <c r="S114" i="1"/>
  <c r="T114" i="1"/>
  <c r="U114" i="1"/>
  <c r="A115" i="1"/>
  <c r="B115" i="1"/>
  <c r="C115" i="1"/>
  <c r="D115" i="1"/>
  <c r="E115" i="1"/>
  <c r="F115" i="1"/>
  <c r="G115" i="1"/>
  <c r="H115" i="1"/>
  <c r="I115" i="1"/>
  <c r="J115" i="1"/>
  <c r="M115" i="1"/>
  <c r="N115" i="1"/>
  <c r="O115" i="1"/>
  <c r="P115" i="1"/>
  <c r="Q115" i="1"/>
  <c r="R115" i="1"/>
  <c r="S115" i="1"/>
  <c r="T115" i="1"/>
  <c r="U115" i="1"/>
  <c r="A116" i="1"/>
  <c r="B116" i="1"/>
  <c r="C116" i="1"/>
  <c r="D116" i="1"/>
  <c r="E116" i="1"/>
  <c r="F116" i="1"/>
  <c r="G116" i="1"/>
  <c r="H116" i="1"/>
  <c r="I116" i="1"/>
  <c r="J116" i="1"/>
  <c r="M116" i="1"/>
  <c r="N116" i="1"/>
  <c r="O116" i="1"/>
  <c r="P116" i="1"/>
  <c r="Q116" i="1"/>
  <c r="R116" i="1"/>
  <c r="S116" i="1"/>
  <c r="T116" i="1"/>
  <c r="U116" i="1"/>
  <c r="A117" i="1"/>
  <c r="B117" i="1"/>
  <c r="C117" i="1"/>
  <c r="D117" i="1"/>
  <c r="E117" i="1"/>
  <c r="F117" i="1"/>
  <c r="G117" i="1"/>
  <c r="H117" i="1"/>
  <c r="I117" i="1"/>
  <c r="J117" i="1"/>
  <c r="M117" i="1"/>
  <c r="N117" i="1"/>
  <c r="O117" i="1"/>
  <c r="P117" i="1"/>
  <c r="Q117" i="1"/>
  <c r="R117" i="1"/>
  <c r="S117" i="1"/>
  <c r="T117" i="1"/>
  <c r="U117" i="1"/>
  <c r="A118" i="1"/>
  <c r="B118" i="1"/>
  <c r="C118" i="1"/>
  <c r="D118" i="1"/>
  <c r="E118" i="1"/>
  <c r="F118" i="1"/>
  <c r="G118" i="1"/>
  <c r="H118" i="1"/>
  <c r="I118" i="1"/>
  <c r="J118" i="1"/>
  <c r="M118" i="1"/>
  <c r="N118" i="1"/>
  <c r="O118" i="1"/>
  <c r="P118" i="1"/>
  <c r="Q118" i="1"/>
  <c r="R118" i="1"/>
  <c r="S118" i="1"/>
  <c r="T118" i="1"/>
  <c r="U118" i="1"/>
  <c r="A119" i="1"/>
  <c r="B119" i="1"/>
  <c r="C119" i="1"/>
  <c r="D119" i="1"/>
  <c r="E119" i="1"/>
  <c r="F119" i="1"/>
  <c r="G119" i="1"/>
  <c r="H119" i="1"/>
  <c r="I119" i="1"/>
  <c r="J119" i="1"/>
  <c r="M119" i="1"/>
  <c r="N119" i="1"/>
  <c r="O119" i="1"/>
  <c r="P119" i="1"/>
  <c r="Q119" i="1"/>
  <c r="R119" i="1"/>
  <c r="S119" i="1"/>
  <c r="T119" i="1"/>
  <c r="U119" i="1"/>
  <c r="A71" i="1"/>
  <c r="B71" i="1"/>
  <c r="C71" i="1"/>
  <c r="D71" i="1"/>
  <c r="E71" i="1"/>
  <c r="F71" i="1"/>
  <c r="G71" i="1"/>
  <c r="H71" i="1"/>
  <c r="I71" i="1"/>
  <c r="J71" i="1"/>
  <c r="M71" i="1"/>
  <c r="N71" i="1"/>
  <c r="O71" i="1"/>
  <c r="P71" i="1"/>
  <c r="Q71" i="1"/>
  <c r="R71" i="1"/>
  <c r="S71" i="1"/>
  <c r="T71" i="1"/>
  <c r="U71" i="1"/>
  <c r="A67" i="1"/>
  <c r="B67" i="1"/>
  <c r="C67" i="1"/>
  <c r="D67" i="1"/>
  <c r="E67" i="1"/>
  <c r="F67" i="1"/>
  <c r="G67" i="1"/>
  <c r="H67" i="1"/>
  <c r="I67" i="1"/>
  <c r="J67" i="1"/>
  <c r="M67" i="1"/>
  <c r="N67" i="1"/>
  <c r="O67" i="1"/>
  <c r="P67" i="1"/>
  <c r="Q67" i="1"/>
  <c r="R67" i="1"/>
  <c r="S67" i="1"/>
  <c r="T67" i="1"/>
  <c r="U67" i="1"/>
  <c r="A68" i="1"/>
  <c r="B68" i="1"/>
  <c r="C68" i="1"/>
  <c r="D68" i="1"/>
  <c r="E68" i="1"/>
  <c r="F68" i="1"/>
  <c r="G68" i="1"/>
  <c r="H68" i="1"/>
  <c r="I68" i="1"/>
  <c r="J68" i="1"/>
  <c r="M68" i="1"/>
  <c r="N68" i="1"/>
  <c r="O68" i="1"/>
  <c r="P68" i="1"/>
  <c r="Q68" i="1"/>
  <c r="R68" i="1"/>
  <c r="S68" i="1"/>
  <c r="T68" i="1"/>
  <c r="U68" i="1"/>
  <c r="A72" i="1"/>
  <c r="B72" i="1"/>
  <c r="C72" i="1"/>
  <c r="D72" i="1"/>
  <c r="E72" i="1"/>
  <c r="F72" i="1"/>
  <c r="G72" i="1"/>
  <c r="H72" i="1"/>
  <c r="I72" i="1"/>
  <c r="J72" i="1"/>
  <c r="M72" i="1"/>
  <c r="N72" i="1"/>
  <c r="O72" i="1"/>
  <c r="P72" i="1"/>
  <c r="Q72" i="1"/>
  <c r="R72" i="1"/>
  <c r="S72" i="1"/>
  <c r="T72" i="1"/>
  <c r="U72" i="1"/>
  <c r="A69" i="1"/>
  <c r="B69" i="1"/>
  <c r="C69" i="1"/>
  <c r="D69" i="1"/>
  <c r="E69" i="1"/>
  <c r="F69" i="1"/>
  <c r="G69" i="1"/>
  <c r="H69" i="1"/>
  <c r="I69" i="1"/>
  <c r="J69" i="1"/>
  <c r="M69" i="1"/>
  <c r="N69" i="1"/>
  <c r="O69" i="1"/>
  <c r="P69" i="1"/>
  <c r="Q69" i="1"/>
  <c r="R69" i="1"/>
  <c r="S69" i="1"/>
  <c r="T69" i="1"/>
  <c r="U69" i="1"/>
  <c r="A70" i="1"/>
  <c r="B70" i="1"/>
  <c r="C70" i="1"/>
  <c r="D70" i="1"/>
  <c r="E70" i="1"/>
  <c r="F70" i="1"/>
  <c r="G70" i="1"/>
  <c r="H70" i="1"/>
  <c r="I70" i="1"/>
  <c r="J70" i="1"/>
  <c r="M70" i="1"/>
  <c r="N70" i="1"/>
  <c r="O70" i="1"/>
  <c r="P70" i="1"/>
  <c r="Q70" i="1"/>
  <c r="R70" i="1"/>
  <c r="S70" i="1"/>
  <c r="T70" i="1"/>
  <c r="U70" i="1"/>
  <c r="A3" i="1"/>
  <c r="B3" i="1"/>
  <c r="C3" i="1"/>
  <c r="D3" i="1"/>
  <c r="E3" i="1"/>
  <c r="F3" i="1"/>
  <c r="G3" i="1"/>
  <c r="H3" i="1"/>
  <c r="I3" i="1"/>
  <c r="J3" i="1"/>
  <c r="M3" i="1"/>
  <c r="N3" i="1"/>
  <c r="O3" i="1"/>
  <c r="Q3" i="1"/>
  <c r="R3" i="1"/>
  <c r="S3" i="1"/>
  <c r="T3" i="1"/>
  <c r="U3" i="1"/>
  <c r="A1777" i="1"/>
  <c r="B1777" i="1"/>
  <c r="C1777" i="1"/>
  <c r="D1777" i="1"/>
  <c r="E1777" i="1"/>
  <c r="F1777" i="1"/>
  <c r="G1777" i="1"/>
  <c r="H1777" i="1"/>
  <c r="I1777" i="1"/>
  <c r="J1777" i="1"/>
  <c r="M1777" i="1"/>
  <c r="N1777" i="1"/>
  <c r="O1777" i="1"/>
  <c r="P1777" i="1"/>
  <c r="Q1777" i="1"/>
  <c r="R1777" i="1"/>
  <c r="S1777" i="1"/>
  <c r="T1777" i="1"/>
  <c r="U1777" i="1"/>
  <c r="A1778" i="1"/>
  <c r="B1778" i="1"/>
  <c r="C1778" i="1"/>
  <c r="D1778" i="1"/>
  <c r="E1778" i="1"/>
  <c r="F1778" i="1"/>
  <c r="G1778" i="1"/>
  <c r="H1778" i="1"/>
  <c r="I1778" i="1"/>
  <c r="J1778" i="1"/>
  <c r="M1778" i="1"/>
  <c r="N1778" i="1"/>
  <c r="O1778" i="1"/>
  <c r="P1778" i="1"/>
  <c r="Q1778" i="1"/>
  <c r="R1778" i="1"/>
  <c r="S1778" i="1"/>
  <c r="T1778" i="1"/>
  <c r="U1778" i="1"/>
  <c r="A1780" i="1"/>
  <c r="B1780" i="1"/>
  <c r="C1780" i="1"/>
  <c r="D1780" i="1"/>
  <c r="E1780" i="1"/>
  <c r="F1780" i="1"/>
  <c r="G1780" i="1"/>
  <c r="H1780" i="1"/>
  <c r="I1780" i="1"/>
  <c r="J1780" i="1"/>
  <c r="M1780" i="1"/>
  <c r="N1780" i="1"/>
  <c r="O1780" i="1"/>
  <c r="P1780" i="1"/>
  <c r="Q1780" i="1"/>
  <c r="R1780" i="1"/>
  <c r="S1780" i="1"/>
  <c r="T1780" i="1"/>
  <c r="U1780" i="1"/>
  <c r="A1779" i="1"/>
  <c r="B1779" i="1"/>
  <c r="C1779" i="1"/>
  <c r="D1779" i="1"/>
  <c r="E1779" i="1"/>
  <c r="F1779" i="1"/>
  <c r="G1779" i="1"/>
  <c r="H1779" i="1"/>
  <c r="I1779" i="1"/>
  <c r="J1779" i="1"/>
  <c r="M1779" i="1"/>
  <c r="N1779" i="1"/>
  <c r="O1779" i="1"/>
  <c r="P1779" i="1"/>
  <c r="Q1779" i="1"/>
  <c r="R1779" i="1"/>
  <c r="S1779" i="1"/>
  <c r="T1779" i="1"/>
  <c r="U1779" i="1"/>
  <c r="A1717" i="1"/>
  <c r="B1717" i="1"/>
  <c r="C1717" i="1"/>
  <c r="D1717" i="1"/>
  <c r="E1717" i="1"/>
  <c r="F1717" i="1"/>
  <c r="G1717" i="1"/>
  <c r="H1717" i="1"/>
  <c r="I1717" i="1"/>
  <c r="J1717" i="1"/>
  <c r="M1717" i="1"/>
  <c r="N1717" i="1"/>
  <c r="O1717" i="1"/>
  <c r="P1717" i="1"/>
  <c r="Q1717" i="1"/>
  <c r="R1717" i="1"/>
  <c r="S1717" i="1"/>
  <c r="T1717" i="1"/>
  <c r="U1717" i="1"/>
  <c r="A1718" i="1"/>
  <c r="B1718" i="1"/>
  <c r="C1718" i="1"/>
  <c r="D1718" i="1"/>
  <c r="E1718" i="1"/>
  <c r="F1718" i="1"/>
  <c r="G1718" i="1"/>
  <c r="H1718" i="1"/>
  <c r="I1718" i="1"/>
  <c r="J1718" i="1"/>
  <c r="M1718" i="1"/>
  <c r="N1718" i="1"/>
  <c r="O1718" i="1"/>
  <c r="P1718" i="1"/>
  <c r="Q1718" i="1"/>
  <c r="R1718" i="1"/>
  <c r="S1718" i="1"/>
  <c r="T1718" i="1"/>
  <c r="U1718" i="1"/>
  <c r="A1719" i="1"/>
  <c r="B1719" i="1"/>
  <c r="C1719" i="1"/>
  <c r="D1719" i="1"/>
  <c r="E1719" i="1"/>
  <c r="F1719" i="1"/>
  <c r="G1719" i="1"/>
  <c r="H1719" i="1"/>
  <c r="I1719" i="1"/>
  <c r="J1719" i="1"/>
  <c r="M1719" i="1"/>
  <c r="N1719" i="1"/>
  <c r="O1719" i="1"/>
  <c r="P1719" i="1"/>
  <c r="Q1719" i="1"/>
  <c r="R1719" i="1"/>
  <c r="S1719" i="1"/>
  <c r="T1719" i="1"/>
  <c r="U1719" i="1"/>
  <c r="A1720" i="1"/>
  <c r="B1720" i="1"/>
  <c r="C1720" i="1"/>
  <c r="D1720" i="1"/>
  <c r="E1720" i="1"/>
  <c r="F1720" i="1"/>
  <c r="G1720" i="1"/>
  <c r="H1720" i="1"/>
  <c r="I1720" i="1"/>
  <c r="J1720" i="1"/>
  <c r="M1720" i="1"/>
  <c r="N1720" i="1"/>
  <c r="O1720" i="1"/>
  <c r="P1720" i="1"/>
  <c r="Q1720" i="1"/>
  <c r="R1720" i="1"/>
  <c r="S1720" i="1"/>
  <c r="T1720" i="1"/>
  <c r="U1720" i="1"/>
  <c r="A1723" i="1"/>
  <c r="B1723" i="1"/>
  <c r="C1723" i="1"/>
  <c r="D1723" i="1"/>
  <c r="E1723" i="1"/>
  <c r="F1723" i="1"/>
  <c r="G1723" i="1"/>
  <c r="H1723" i="1"/>
  <c r="I1723" i="1"/>
  <c r="J1723" i="1"/>
  <c r="M1723" i="1"/>
  <c r="N1723" i="1"/>
  <c r="O1723" i="1"/>
  <c r="P1723" i="1"/>
  <c r="Q1723" i="1"/>
  <c r="R1723" i="1"/>
  <c r="S1723" i="1"/>
  <c r="T1723" i="1"/>
  <c r="U1723" i="1"/>
  <c r="A1721" i="1"/>
  <c r="B1721" i="1"/>
  <c r="C1721" i="1"/>
  <c r="D1721" i="1"/>
  <c r="E1721" i="1"/>
  <c r="F1721" i="1"/>
  <c r="G1721" i="1"/>
  <c r="H1721" i="1"/>
  <c r="I1721" i="1"/>
  <c r="J1721" i="1"/>
  <c r="M1721" i="1"/>
  <c r="N1721" i="1"/>
  <c r="O1721" i="1"/>
  <c r="P1721" i="1"/>
  <c r="Q1721" i="1"/>
  <c r="R1721" i="1"/>
  <c r="S1721" i="1"/>
  <c r="T1721" i="1"/>
  <c r="U1721" i="1"/>
  <c r="A1722" i="1"/>
  <c r="B1722" i="1"/>
  <c r="C1722" i="1"/>
  <c r="D1722" i="1"/>
  <c r="E1722" i="1"/>
  <c r="F1722" i="1"/>
  <c r="G1722" i="1"/>
  <c r="H1722" i="1"/>
  <c r="I1722" i="1"/>
  <c r="J1722" i="1"/>
  <c r="M1722" i="1"/>
  <c r="N1722" i="1"/>
  <c r="O1722" i="1"/>
  <c r="P1722" i="1"/>
  <c r="Q1722" i="1"/>
  <c r="R1722" i="1"/>
  <c r="S1722" i="1"/>
  <c r="T1722" i="1"/>
  <c r="U1722" i="1"/>
  <c r="A1649" i="1"/>
  <c r="B1649" i="1"/>
  <c r="C1649" i="1"/>
  <c r="D1649" i="1"/>
  <c r="E1649" i="1"/>
  <c r="F1649" i="1"/>
  <c r="G1649" i="1"/>
  <c r="H1649" i="1"/>
  <c r="I1649" i="1"/>
  <c r="J1649" i="1"/>
  <c r="M1649" i="1"/>
  <c r="N1649" i="1"/>
  <c r="O1649" i="1"/>
  <c r="P1649" i="1"/>
  <c r="Q1649" i="1"/>
  <c r="R1649" i="1"/>
  <c r="S1649" i="1"/>
  <c r="T1649" i="1"/>
  <c r="U1649" i="1"/>
  <c r="A1655" i="1"/>
  <c r="B1655" i="1"/>
  <c r="C1655" i="1"/>
  <c r="D1655" i="1"/>
  <c r="E1655" i="1"/>
  <c r="F1655" i="1"/>
  <c r="G1655" i="1"/>
  <c r="H1655" i="1"/>
  <c r="I1655" i="1"/>
  <c r="J1655" i="1"/>
  <c r="M1655" i="1"/>
  <c r="N1655" i="1"/>
  <c r="O1655" i="1"/>
  <c r="P1655" i="1"/>
  <c r="Q1655" i="1"/>
  <c r="R1655" i="1"/>
  <c r="S1655" i="1"/>
  <c r="T1655" i="1"/>
  <c r="U1655" i="1"/>
  <c r="A1650" i="1"/>
  <c r="B1650" i="1"/>
  <c r="C1650" i="1"/>
  <c r="D1650" i="1"/>
  <c r="E1650" i="1"/>
  <c r="F1650" i="1"/>
  <c r="G1650" i="1"/>
  <c r="H1650" i="1"/>
  <c r="I1650" i="1"/>
  <c r="J1650" i="1"/>
  <c r="M1650" i="1"/>
  <c r="N1650" i="1"/>
  <c r="O1650" i="1"/>
  <c r="P1650" i="1"/>
  <c r="Q1650" i="1"/>
  <c r="R1650" i="1"/>
  <c r="S1650" i="1"/>
  <c r="T1650" i="1"/>
  <c r="U1650" i="1"/>
  <c r="A1651" i="1"/>
  <c r="B1651" i="1"/>
  <c r="C1651" i="1"/>
  <c r="D1651" i="1"/>
  <c r="E1651" i="1"/>
  <c r="F1651" i="1"/>
  <c r="G1651" i="1"/>
  <c r="H1651" i="1"/>
  <c r="I1651" i="1"/>
  <c r="J1651" i="1"/>
  <c r="M1651" i="1"/>
  <c r="N1651" i="1"/>
  <c r="O1651" i="1"/>
  <c r="P1651" i="1"/>
  <c r="Q1651" i="1"/>
  <c r="R1651" i="1"/>
  <c r="S1651" i="1"/>
  <c r="T1651" i="1"/>
  <c r="U1651" i="1"/>
  <c r="A1652" i="1"/>
  <c r="B1652" i="1"/>
  <c r="C1652" i="1"/>
  <c r="D1652" i="1"/>
  <c r="E1652" i="1"/>
  <c r="F1652" i="1"/>
  <c r="G1652" i="1"/>
  <c r="H1652" i="1"/>
  <c r="I1652" i="1"/>
  <c r="J1652" i="1"/>
  <c r="M1652" i="1"/>
  <c r="N1652" i="1"/>
  <c r="O1652" i="1"/>
  <c r="P1652" i="1"/>
  <c r="Q1652" i="1"/>
  <c r="R1652" i="1"/>
  <c r="S1652" i="1"/>
  <c r="T1652" i="1"/>
  <c r="U1652" i="1"/>
  <c r="A1653" i="1"/>
  <c r="B1653" i="1"/>
  <c r="C1653" i="1"/>
  <c r="D1653" i="1"/>
  <c r="E1653" i="1"/>
  <c r="F1653" i="1"/>
  <c r="G1653" i="1"/>
  <c r="H1653" i="1"/>
  <c r="I1653" i="1"/>
  <c r="J1653" i="1"/>
  <c r="M1653" i="1"/>
  <c r="N1653" i="1"/>
  <c r="O1653" i="1"/>
  <c r="P1653" i="1"/>
  <c r="Q1653" i="1"/>
  <c r="R1653" i="1"/>
  <c r="S1653" i="1"/>
  <c r="T1653" i="1"/>
  <c r="U1653" i="1"/>
  <c r="A1654" i="1"/>
  <c r="B1654" i="1"/>
  <c r="C1654" i="1"/>
  <c r="D1654" i="1"/>
  <c r="E1654" i="1"/>
  <c r="F1654" i="1"/>
  <c r="G1654" i="1"/>
  <c r="H1654" i="1"/>
  <c r="I1654" i="1"/>
  <c r="J1654" i="1"/>
  <c r="M1654" i="1"/>
  <c r="N1654" i="1"/>
  <c r="O1654" i="1"/>
  <c r="P1654" i="1"/>
  <c r="Q1654" i="1"/>
  <c r="R1654" i="1"/>
  <c r="S1654" i="1"/>
  <c r="T1654" i="1"/>
  <c r="U1654" i="1"/>
  <c r="A1570" i="1"/>
  <c r="B1570" i="1"/>
  <c r="C1570" i="1"/>
  <c r="D1570" i="1"/>
  <c r="E1570" i="1"/>
  <c r="F1570" i="1"/>
  <c r="G1570" i="1"/>
  <c r="H1570" i="1"/>
  <c r="I1570" i="1"/>
  <c r="J1570" i="1"/>
  <c r="M1570" i="1"/>
  <c r="N1570" i="1"/>
  <c r="O1570" i="1"/>
  <c r="P1570" i="1"/>
  <c r="Q1570" i="1"/>
  <c r="R1570" i="1"/>
  <c r="S1570" i="1"/>
  <c r="T1570" i="1"/>
  <c r="U1570" i="1"/>
  <c r="A1571" i="1"/>
  <c r="B1571" i="1"/>
  <c r="C1571" i="1"/>
  <c r="D1571" i="1"/>
  <c r="E1571" i="1"/>
  <c r="F1571" i="1"/>
  <c r="G1571" i="1"/>
  <c r="H1571" i="1"/>
  <c r="I1571" i="1"/>
  <c r="J1571" i="1"/>
  <c r="M1571" i="1"/>
  <c r="N1571" i="1"/>
  <c r="O1571" i="1"/>
  <c r="P1571" i="1"/>
  <c r="Q1571" i="1"/>
  <c r="R1571" i="1"/>
  <c r="S1571" i="1"/>
  <c r="T1571" i="1"/>
  <c r="U1571" i="1"/>
  <c r="A1572" i="1"/>
  <c r="B1572" i="1"/>
  <c r="C1572" i="1"/>
  <c r="D1572" i="1"/>
  <c r="E1572" i="1"/>
  <c r="F1572" i="1"/>
  <c r="G1572" i="1"/>
  <c r="H1572" i="1"/>
  <c r="I1572" i="1"/>
  <c r="J1572" i="1"/>
  <c r="M1572" i="1"/>
  <c r="N1572" i="1"/>
  <c r="O1572" i="1"/>
  <c r="P1572" i="1"/>
  <c r="Q1572" i="1"/>
  <c r="R1572" i="1"/>
  <c r="S1572" i="1"/>
  <c r="T1572" i="1"/>
  <c r="U1572" i="1"/>
  <c r="A1574" i="1"/>
  <c r="B1574" i="1"/>
  <c r="C1574" i="1"/>
  <c r="D1574" i="1"/>
  <c r="E1574" i="1"/>
  <c r="F1574" i="1"/>
  <c r="G1574" i="1"/>
  <c r="H1574" i="1"/>
  <c r="I1574" i="1"/>
  <c r="J1574" i="1"/>
  <c r="M1574" i="1"/>
  <c r="N1574" i="1"/>
  <c r="O1574" i="1"/>
  <c r="P1574" i="1"/>
  <c r="Q1574" i="1"/>
  <c r="R1574" i="1"/>
  <c r="S1574" i="1"/>
  <c r="T1574" i="1"/>
  <c r="U1574" i="1"/>
  <c r="A1573" i="1"/>
  <c r="B1573" i="1"/>
  <c r="C1573" i="1"/>
  <c r="D1573" i="1"/>
  <c r="E1573" i="1"/>
  <c r="F1573" i="1"/>
  <c r="G1573" i="1"/>
  <c r="H1573" i="1"/>
  <c r="I1573" i="1"/>
  <c r="J1573" i="1"/>
  <c r="M1573" i="1"/>
  <c r="N1573" i="1"/>
  <c r="O1573" i="1"/>
  <c r="P1573" i="1"/>
  <c r="Q1573" i="1"/>
  <c r="R1573" i="1"/>
  <c r="S1573" i="1"/>
  <c r="T1573" i="1"/>
  <c r="U1573" i="1"/>
  <c r="A1507" i="1"/>
  <c r="B1507" i="1"/>
  <c r="C1507" i="1"/>
  <c r="D1507" i="1"/>
  <c r="E1507" i="1"/>
  <c r="F1507" i="1"/>
  <c r="G1507" i="1"/>
  <c r="H1507" i="1"/>
  <c r="I1507" i="1"/>
  <c r="J1507" i="1"/>
  <c r="M1507" i="1"/>
  <c r="N1507" i="1"/>
  <c r="O1507" i="1"/>
  <c r="P1507" i="1"/>
  <c r="Q1507" i="1"/>
  <c r="R1507" i="1"/>
  <c r="S1507" i="1"/>
  <c r="T1507" i="1"/>
  <c r="U1507" i="1"/>
  <c r="A1508" i="1"/>
  <c r="B1508" i="1"/>
  <c r="C1508" i="1"/>
  <c r="D1508" i="1"/>
  <c r="E1508" i="1"/>
  <c r="F1508" i="1"/>
  <c r="G1508" i="1"/>
  <c r="H1508" i="1"/>
  <c r="I1508" i="1"/>
  <c r="J1508" i="1"/>
  <c r="M1508" i="1"/>
  <c r="N1508" i="1"/>
  <c r="O1508" i="1"/>
  <c r="P1508" i="1"/>
  <c r="Q1508" i="1"/>
  <c r="R1508" i="1"/>
  <c r="S1508" i="1"/>
  <c r="T1508" i="1"/>
  <c r="U1508" i="1"/>
  <c r="A1316" i="1"/>
  <c r="B1316" i="1"/>
  <c r="C1316" i="1"/>
  <c r="D1316" i="1"/>
  <c r="E1316" i="1"/>
  <c r="F1316" i="1"/>
  <c r="G1316" i="1"/>
  <c r="H1316" i="1"/>
  <c r="I1316" i="1"/>
  <c r="J1316" i="1"/>
  <c r="M1316" i="1"/>
  <c r="N1316" i="1"/>
  <c r="O1316" i="1"/>
  <c r="P1316" i="1"/>
  <c r="Q1316" i="1"/>
  <c r="R1316" i="1"/>
  <c r="S1316" i="1"/>
  <c r="T1316" i="1"/>
  <c r="U1316" i="1"/>
  <c r="A1317" i="1"/>
  <c r="B1317" i="1"/>
  <c r="C1317" i="1"/>
  <c r="D1317" i="1"/>
  <c r="E1317" i="1"/>
  <c r="F1317" i="1"/>
  <c r="G1317" i="1"/>
  <c r="H1317" i="1"/>
  <c r="I1317" i="1"/>
  <c r="J1317" i="1"/>
  <c r="M1317" i="1"/>
  <c r="N1317" i="1"/>
  <c r="O1317" i="1"/>
  <c r="P1317" i="1"/>
  <c r="Q1317" i="1"/>
  <c r="R1317" i="1"/>
  <c r="S1317" i="1"/>
  <c r="T1317" i="1"/>
  <c r="U1317" i="1"/>
  <c r="A1246" i="1"/>
  <c r="B1246" i="1"/>
  <c r="C1246" i="1"/>
  <c r="D1246" i="1"/>
  <c r="E1246" i="1"/>
  <c r="F1246" i="1"/>
  <c r="G1246" i="1"/>
  <c r="H1246" i="1"/>
  <c r="I1246" i="1"/>
  <c r="J1246" i="1"/>
  <c r="M1246" i="1"/>
  <c r="N1246" i="1"/>
  <c r="O1246" i="1"/>
  <c r="P1246" i="1"/>
  <c r="Q1246" i="1"/>
  <c r="R1246" i="1"/>
  <c r="S1246" i="1"/>
  <c r="T1246" i="1"/>
  <c r="U1246" i="1"/>
  <c r="A1179" i="1"/>
  <c r="B1179" i="1"/>
  <c r="C1179" i="1"/>
  <c r="D1179" i="1"/>
  <c r="E1179" i="1"/>
  <c r="F1179" i="1"/>
  <c r="G1179" i="1"/>
  <c r="H1179" i="1"/>
  <c r="I1179" i="1"/>
  <c r="J1179" i="1"/>
  <c r="M1179" i="1"/>
  <c r="N1179" i="1"/>
  <c r="O1179" i="1"/>
  <c r="P1179" i="1"/>
  <c r="Q1179" i="1"/>
  <c r="R1179" i="1"/>
  <c r="S1179" i="1"/>
  <c r="T1179" i="1"/>
  <c r="U1179" i="1"/>
  <c r="A1180" i="1"/>
  <c r="B1180" i="1"/>
  <c r="C1180" i="1"/>
  <c r="D1180" i="1"/>
  <c r="E1180" i="1"/>
  <c r="F1180" i="1"/>
  <c r="G1180" i="1"/>
  <c r="H1180" i="1"/>
  <c r="I1180" i="1"/>
  <c r="J1180" i="1"/>
  <c r="M1180" i="1"/>
  <c r="N1180" i="1"/>
  <c r="O1180" i="1"/>
  <c r="P1180" i="1"/>
  <c r="Q1180" i="1"/>
  <c r="R1180" i="1"/>
  <c r="S1180" i="1"/>
  <c r="T1180" i="1"/>
  <c r="U1180" i="1"/>
  <c r="A1181" i="1"/>
  <c r="B1181" i="1"/>
  <c r="C1181" i="1"/>
  <c r="D1181" i="1"/>
  <c r="E1181" i="1"/>
  <c r="F1181" i="1"/>
  <c r="G1181" i="1"/>
  <c r="H1181" i="1"/>
  <c r="I1181" i="1"/>
  <c r="J1181" i="1"/>
  <c r="M1181" i="1"/>
  <c r="N1181" i="1"/>
  <c r="O1181" i="1"/>
  <c r="P1181" i="1"/>
  <c r="Q1181" i="1"/>
  <c r="R1181" i="1"/>
  <c r="S1181" i="1"/>
  <c r="T1181" i="1"/>
  <c r="U1181" i="1"/>
  <c r="A1141" i="1"/>
  <c r="B1141" i="1"/>
  <c r="C1141" i="1"/>
  <c r="D1141" i="1"/>
  <c r="E1141" i="1"/>
  <c r="F1141" i="1"/>
  <c r="G1141" i="1"/>
  <c r="H1141" i="1"/>
  <c r="I1141" i="1"/>
  <c r="J1141" i="1"/>
  <c r="M1141" i="1"/>
  <c r="N1141" i="1"/>
  <c r="O1141" i="1"/>
  <c r="Q1141" i="1"/>
  <c r="R1141" i="1"/>
  <c r="S1141" i="1"/>
  <c r="T1141" i="1"/>
  <c r="U1141" i="1"/>
  <c r="A1142" i="1"/>
  <c r="B1142" i="1"/>
  <c r="C1142" i="1"/>
  <c r="D1142" i="1"/>
  <c r="E1142" i="1"/>
  <c r="F1142" i="1"/>
  <c r="G1142" i="1"/>
  <c r="H1142" i="1"/>
  <c r="I1142" i="1"/>
  <c r="J1142" i="1"/>
  <c r="M1142" i="1"/>
  <c r="N1142" i="1"/>
  <c r="O1142" i="1"/>
  <c r="P1142" i="1"/>
  <c r="Q1142" i="1"/>
  <c r="R1142" i="1"/>
  <c r="S1142" i="1"/>
  <c r="T1142" i="1"/>
  <c r="U1142" i="1"/>
  <c r="A1143" i="1"/>
  <c r="B1143" i="1"/>
  <c r="C1143" i="1"/>
  <c r="D1143" i="1"/>
  <c r="E1143" i="1"/>
  <c r="F1143" i="1"/>
  <c r="G1143" i="1"/>
  <c r="H1143" i="1"/>
  <c r="I1143" i="1"/>
  <c r="J1143" i="1"/>
  <c r="M1143" i="1"/>
  <c r="N1143" i="1"/>
  <c r="O1143" i="1"/>
  <c r="P1143" i="1"/>
  <c r="Q1143" i="1"/>
  <c r="R1143" i="1"/>
  <c r="S1143" i="1"/>
  <c r="T1143" i="1"/>
  <c r="U1143" i="1"/>
  <c r="A1080" i="1"/>
  <c r="B1080" i="1"/>
  <c r="C1080" i="1"/>
  <c r="D1080" i="1"/>
  <c r="E1080" i="1"/>
  <c r="F1080" i="1"/>
  <c r="G1080" i="1"/>
  <c r="H1080" i="1"/>
  <c r="I1080" i="1"/>
  <c r="J1080" i="1"/>
  <c r="M1080" i="1"/>
  <c r="N1080" i="1"/>
  <c r="O1080" i="1"/>
  <c r="P1080" i="1"/>
  <c r="Q1080" i="1"/>
  <c r="R1080" i="1"/>
  <c r="S1080" i="1"/>
  <c r="T1080" i="1"/>
  <c r="U1080" i="1"/>
  <c r="A1064" i="1"/>
  <c r="B1064" i="1"/>
  <c r="C1064" i="1"/>
  <c r="D1064" i="1"/>
  <c r="E1064" i="1"/>
  <c r="F1064" i="1"/>
  <c r="G1064" i="1"/>
  <c r="H1064" i="1"/>
  <c r="I1064" i="1"/>
  <c r="J1064" i="1"/>
  <c r="M1064" i="1"/>
  <c r="N1064" i="1"/>
  <c r="O1064" i="1"/>
  <c r="Q1064" i="1"/>
  <c r="R1064" i="1"/>
  <c r="S1064" i="1"/>
  <c r="T1064" i="1"/>
  <c r="U1064" i="1"/>
  <c r="A1071" i="1"/>
  <c r="B1071" i="1"/>
  <c r="C1071" i="1"/>
  <c r="D1071" i="1"/>
  <c r="E1071" i="1"/>
  <c r="F1071" i="1"/>
  <c r="G1071" i="1"/>
  <c r="H1071" i="1"/>
  <c r="I1071" i="1"/>
  <c r="J1071" i="1"/>
  <c r="M1071" i="1"/>
  <c r="N1071" i="1"/>
  <c r="O1071" i="1"/>
  <c r="P1071" i="1"/>
  <c r="Q1071" i="1"/>
  <c r="R1071" i="1"/>
  <c r="S1071" i="1"/>
  <c r="T1071" i="1"/>
  <c r="U1071" i="1"/>
  <c r="A1073" i="1"/>
  <c r="B1073" i="1"/>
  <c r="C1073" i="1"/>
  <c r="D1073" i="1"/>
  <c r="E1073" i="1"/>
  <c r="F1073" i="1"/>
  <c r="G1073" i="1"/>
  <c r="H1073" i="1"/>
  <c r="I1073" i="1"/>
  <c r="J1073" i="1"/>
  <c r="M1073" i="1"/>
  <c r="N1073" i="1"/>
  <c r="O1073" i="1"/>
  <c r="P1073" i="1"/>
  <c r="Q1073" i="1"/>
  <c r="R1073" i="1"/>
  <c r="S1073" i="1"/>
  <c r="T1073" i="1"/>
  <c r="U1073" i="1"/>
  <c r="A1069" i="1"/>
  <c r="B1069" i="1"/>
  <c r="C1069" i="1"/>
  <c r="D1069" i="1"/>
  <c r="E1069" i="1"/>
  <c r="F1069" i="1"/>
  <c r="G1069" i="1"/>
  <c r="H1069" i="1"/>
  <c r="I1069" i="1"/>
  <c r="J1069" i="1"/>
  <c r="M1069" i="1"/>
  <c r="N1069" i="1"/>
  <c r="O1069" i="1"/>
  <c r="P1069" i="1"/>
  <c r="Q1069" i="1"/>
  <c r="R1069" i="1"/>
  <c r="S1069" i="1"/>
  <c r="T1069" i="1"/>
  <c r="U1069" i="1"/>
  <c r="A1074" i="1"/>
  <c r="B1074" i="1"/>
  <c r="C1074" i="1"/>
  <c r="D1074" i="1"/>
  <c r="E1074" i="1"/>
  <c r="F1074" i="1"/>
  <c r="G1074" i="1"/>
  <c r="H1074" i="1"/>
  <c r="I1074" i="1"/>
  <c r="J1074" i="1"/>
  <c r="M1074" i="1"/>
  <c r="N1074" i="1"/>
  <c r="O1074" i="1"/>
  <c r="P1074" i="1"/>
  <c r="Q1074" i="1"/>
  <c r="R1074" i="1"/>
  <c r="S1074" i="1"/>
  <c r="T1074" i="1"/>
  <c r="U1074" i="1"/>
  <c r="A1065" i="1"/>
  <c r="B1065" i="1"/>
  <c r="C1065" i="1"/>
  <c r="D1065" i="1"/>
  <c r="E1065" i="1"/>
  <c r="F1065" i="1"/>
  <c r="G1065" i="1"/>
  <c r="H1065" i="1"/>
  <c r="I1065" i="1"/>
  <c r="J1065" i="1"/>
  <c r="M1065" i="1"/>
  <c r="N1065" i="1"/>
  <c r="O1065" i="1"/>
  <c r="P1065" i="1"/>
  <c r="Q1065" i="1"/>
  <c r="R1065" i="1"/>
  <c r="S1065" i="1"/>
  <c r="T1065" i="1"/>
  <c r="U1065" i="1"/>
  <c r="A1061" i="1"/>
  <c r="B1061" i="1"/>
  <c r="C1061" i="1"/>
  <c r="D1061" i="1"/>
  <c r="E1061" i="1"/>
  <c r="F1061" i="1"/>
  <c r="G1061" i="1"/>
  <c r="H1061" i="1"/>
  <c r="I1061" i="1"/>
  <c r="J1061" i="1"/>
  <c r="M1061" i="1"/>
  <c r="N1061" i="1"/>
  <c r="O1061" i="1"/>
  <c r="Q1061" i="1"/>
  <c r="R1061" i="1"/>
  <c r="S1061" i="1"/>
  <c r="T1061" i="1"/>
  <c r="U1061" i="1"/>
  <c r="A1066" i="1"/>
  <c r="B1066" i="1"/>
  <c r="C1066" i="1"/>
  <c r="D1066" i="1"/>
  <c r="E1066" i="1"/>
  <c r="F1066" i="1"/>
  <c r="G1066" i="1"/>
  <c r="H1066" i="1"/>
  <c r="I1066" i="1"/>
  <c r="J1066" i="1"/>
  <c r="M1066" i="1"/>
  <c r="N1066" i="1"/>
  <c r="O1066" i="1"/>
  <c r="P1066" i="1"/>
  <c r="Q1066" i="1"/>
  <c r="R1066" i="1"/>
  <c r="S1066" i="1"/>
  <c r="T1066" i="1"/>
  <c r="U1066" i="1"/>
  <c r="A1062" i="1"/>
  <c r="B1062" i="1"/>
  <c r="C1062" i="1"/>
  <c r="D1062" i="1"/>
  <c r="E1062" i="1"/>
  <c r="F1062" i="1"/>
  <c r="G1062" i="1"/>
  <c r="H1062" i="1"/>
  <c r="I1062" i="1"/>
  <c r="J1062" i="1"/>
  <c r="M1062" i="1"/>
  <c r="N1062" i="1"/>
  <c r="O1062" i="1"/>
  <c r="Q1062" i="1"/>
  <c r="R1062" i="1"/>
  <c r="S1062" i="1"/>
  <c r="T1062" i="1"/>
  <c r="U1062" i="1"/>
  <c r="A1063" i="1"/>
  <c r="B1063" i="1"/>
  <c r="C1063" i="1"/>
  <c r="D1063" i="1"/>
  <c r="E1063" i="1"/>
  <c r="F1063" i="1"/>
  <c r="G1063" i="1"/>
  <c r="H1063" i="1"/>
  <c r="I1063" i="1"/>
  <c r="J1063" i="1"/>
  <c r="M1063" i="1"/>
  <c r="N1063" i="1"/>
  <c r="O1063" i="1"/>
  <c r="Q1063" i="1"/>
  <c r="R1063" i="1"/>
  <c r="S1063" i="1"/>
  <c r="T1063" i="1"/>
  <c r="U1063" i="1"/>
  <c r="A1072" i="1"/>
  <c r="B1072" i="1"/>
  <c r="C1072" i="1"/>
  <c r="D1072" i="1"/>
  <c r="E1072" i="1"/>
  <c r="F1072" i="1"/>
  <c r="G1072" i="1"/>
  <c r="H1072" i="1"/>
  <c r="I1072" i="1"/>
  <c r="J1072" i="1"/>
  <c r="M1072" i="1"/>
  <c r="N1072" i="1"/>
  <c r="O1072" i="1"/>
  <c r="P1072" i="1"/>
  <c r="Q1072" i="1"/>
  <c r="R1072" i="1"/>
  <c r="S1072" i="1"/>
  <c r="T1072" i="1"/>
  <c r="U1072" i="1"/>
  <c r="A1086" i="1"/>
  <c r="B1086" i="1"/>
  <c r="C1086" i="1"/>
  <c r="D1086" i="1"/>
  <c r="E1086" i="1"/>
  <c r="F1086" i="1"/>
  <c r="G1086" i="1"/>
  <c r="H1086" i="1"/>
  <c r="I1086" i="1"/>
  <c r="J1086" i="1"/>
  <c r="M1086" i="1"/>
  <c r="N1086" i="1"/>
  <c r="O1086" i="1"/>
  <c r="P1086" i="1"/>
  <c r="Q1086" i="1"/>
  <c r="R1086" i="1"/>
  <c r="S1086" i="1"/>
  <c r="T1086" i="1"/>
  <c r="U1086" i="1"/>
  <c r="A1082" i="1"/>
  <c r="B1082" i="1"/>
  <c r="C1082" i="1"/>
  <c r="D1082" i="1"/>
  <c r="E1082" i="1"/>
  <c r="F1082" i="1"/>
  <c r="G1082" i="1"/>
  <c r="H1082" i="1"/>
  <c r="I1082" i="1"/>
  <c r="J1082" i="1"/>
  <c r="M1082" i="1"/>
  <c r="N1082" i="1"/>
  <c r="O1082" i="1"/>
  <c r="P1082" i="1"/>
  <c r="Q1082" i="1"/>
  <c r="R1082" i="1"/>
  <c r="S1082" i="1"/>
  <c r="T1082" i="1"/>
  <c r="U1082" i="1"/>
  <c r="A1081" i="1"/>
  <c r="B1081" i="1"/>
  <c r="C1081" i="1"/>
  <c r="D1081" i="1"/>
  <c r="E1081" i="1"/>
  <c r="F1081" i="1"/>
  <c r="G1081" i="1"/>
  <c r="H1081" i="1"/>
  <c r="I1081" i="1"/>
  <c r="J1081" i="1"/>
  <c r="M1081" i="1"/>
  <c r="N1081" i="1"/>
  <c r="O1081" i="1"/>
  <c r="P1081" i="1"/>
  <c r="Q1081" i="1"/>
  <c r="R1081" i="1"/>
  <c r="S1081" i="1"/>
  <c r="T1081" i="1"/>
  <c r="U1081" i="1"/>
  <c r="A1087" i="1"/>
  <c r="B1087" i="1"/>
  <c r="C1087" i="1"/>
  <c r="D1087" i="1"/>
  <c r="E1087" i="1"/>
  <c r="F1087" i="1"/>
  <c r="G1087" i="1"/>
  <c r="H1087" i="1"/>
  <c r="I1087" i="1"/>
  <c r="J1087" i="1"/>
  <c r="M1087" i="1"/>
  <c r="N1087" i="1"/>
  <c r="O1087" i="1"/>
  <c r="P1087" i="1"/>
  <c r="Q1087" i="1"/>
  <c r="R1087" i="1"/>
  <c r="S1087" i="1"/>
  <c r="T1087" i="1"/>
  <c r="U1087" i="1"/>
  <c r="A1070" i="1"/>
  <c r="B1070" i="1"/>
  <c r="C1070" i="1"/>
  <c r="D1070" i="1"/>
  <c r="E1070" i="1"/>
  <c r="F1070" i="1"/>
  <c r="G1070" i="1"/>
  <c r="H1070" i="1"/>
  <c r="I1070" i="1"/>
  <c r="J1070" i="1"/>
  <c r="M1070" i="1"/>
  <c r="N1070" i="1"/>
  <c r="O1070" i="1"/>
  <c r="P1070" i="1"/>
  <c r="Q1070" i="1"/>
  <c r="R1070" i="1"/>
  <c r="S1070" i="1"/>
  <c r="T1070" i="1"/>
  <c r="U1070" i="1"/>
  <c r="A1084" i="1"/>
  <c r="B1084" i="1"/>
  <c r="C1084" i="1"/>
  <c r="D1084" i="1"/>
  <c r="E1084" i="1"/>
  <c r="F1084" i="1"/>
  <c r="G1084" i="1"/>
  <c r="H1084" i="1"/>
  <c r="I1084" i="1"/>
  <c r="J1084" i="1"/>
  <c r="M1084" i="1"/>
  <c r="N1084" i="1"/>
  <c r="O1084" i="1"/>
  <c r="P1084" i="1"/>
  <c r="Q1084" i="1"/>
  <c r="R1084" i="1"/>
  <c r="S1084" i="1"/>
  <c r="T1084" i="1"/>
  <c r="U1084" i="1"/>
  <c r="A1083" i="1"/>
  <c r="B1083" i="1"/>
  <c r="C1083" i="1"/>
  <c r="D1083" i="1"/>
  <c r="E1083" i="1"/>
  <c r="F1083" i="1"/>
  <c r="G1083" i="1"/>
  <c r="H1083" i="1"/>
  <c r="I1083" i="1"/>
  <c r="J1083" i="1"/>
  <c r="M1083" i="1"/>
  <c r="N1083" i="1"/>
  <c r="O1083" i="1"/>
  <c r="P1083" i="1"/>
  <c r="Q1083" i="1"/>
  <c r="R1083" i="1"/>
  <c r="S1083" i="1"/>
  <c r="T1083" i="1"/>
  <c r="U1083" i="1"/>
  <c r="A1079" i="1"/>
  <c r="B1079" i="1"/>
  <c r="C1079" i="1"/>
  <c r="D1079" i="1"/>
  <c r="E1079" i="1"/>
  <c r="F1079" i="1"/>
  <c r="G1079" i="1"/>
  <c r="H1079" i="1"/>
  <c r="I1079" i="1"/>
  <c r="J1079" i="1"/>
  <c r="M1079" i="1"/>
  <c r="N1079" i="1"/>
  <c r="O1079" i="1"/>
  <c r="P1079" i="1"/>
  <c r="Q1079" i="1"/>
  <c r="R1079" i="1"/>
  <c r="S1079" i="1"/>
  <c r="T1079" i="1"/>
  <c r="U1079" i="1"/>
  <c r="A1078" i="1"/>
  <c r="B1078" i="1"/>
  <c r="C1078" i="1"/>
  <c r="D1078" i="1"/>
  <c r="E1078" i="1"/>
  <c r="F1078" i="1"/>
  <c r="G1078" i="1"/>
  <c r="H1078" i="1"/>
  <c r="I1078" i="1"/>
  <c r="J1078" i="1"/>
  <c r="M1078" i="1"/>
  <c r="N1078" i="1"/>
  <c r="O1078" i="1"/>
  <c r="P1078" i="1"/>
  <c r="Q1078" i="1"/>
  <c r="R1078" i="1"/>
  <c r="S1078" i="1"/>
  <c r="T1078" i="1"/>
  <c r="U1078" i="1"/>
  <c r="A1067" i="1"/>
  <c r="B1067" i="1"/>
  <c r="C1067" i="1"/>
  <c r="D1067" i="1"/>
  <c r="E1067" i="1"/>
  <c r="F1067" i="1"/>
  <c r="G1067" i="1"/>
  <c r="H1067" i="1"/>
  <c r="I1067" i="1"/>
  <c r="J1067" i="1"/>
  <c r="M1067" i="1"/>
  <c r="N1067" i="1"/>
  <c r="O1067" i="1"/>
  <c r="P1067" i="1"/>
  <c r="Q1067" i="1"/>
  <c r="R1067" i="1"/>
  <c r="S1067" i="1"/>
  <c r="T1067" i="1"/>
  <c r="U1067" i="1"/>
  <c r="A1077" i="1"/>
  <c r="B1077" i="1"/>
  <c r="C1077" i="1"/>
  <c r="D1077" i="1"/>
  <c r="E1077" i="1"/>
  <c r="F1077" i="1"/>
  <c r="G1077" i="1"/>
  <c r="H1077" i="1"/>
  <c r="I1077" i="1"/>
  <c r="J1077" i="1"/>
  <c r="M1077" i="1"/>
  <c r="N1077" i="1"/>
  <c r="O1077" i="1"/>
  <c r="P1077" i="1"/>
  <c r="Q1077" i="1"/>
  <c r="R1077" i="1"/>
  <c r="S1077" i="1"/>
  <c r="T1077" i="1"/>
  <c r="U1077" i="1"/>
  <c r="A1068" i="1"/>
  <c r="B1068" i="1"/>
  <c r="C1068" i="1"/>
  <c r="D1068" i="1"/>
  <c r="E1068" i="1"/>
  <c r="F1068" i="1"/>
  <c r="G1068" i="1"/>
  <c r="H1068" i="1"/>
  <c r="I1068" i="1"/>
  <c r="J1068" i="1"/>
  <c r="M1068" i="1"/>
  <c r="N1068" i="1"/>
  <c r="O1068" i="1"/>
  <c r="P1068" i="1"/>
  <c r="Q1068" i="1"/>
  <c r="R1068" i="1"/>
  <c r="S1068" i="1"/>
  <c r="T1068" i="1"/>
  <c r="U1068" i="1"/>
  <c r="A1060" i="1"/>
  <c r="B1060" i="1"/>
  <c r="C1060" i="1"/>
  <c r="D1060" i="1"/>
  <c r="E1060" i="1"/>
  <c r="F1060" i="1"/>
  <c r="G1060" i="1"/>
  <c r="H1060" i="1"/>
  <c r="I1060" i="1"/>
  <c r="J1060" i="1"/>
  <c r="M1060" i="1"/>
  <c r="N1060" i="1"/>
  <c r="O1060" i="1"/>
  <c r="Q1060" i="1"/>
  <c r="R1060" i="1"/>
  <c r="S1060" i="1"/>
  <c r="T1060" i="1"/>
  <c r="U1060" i="1"/>
  <c r="A1085" i="1"/>
  <c r="B1085" i="1"/>
  <c r="C1085" i="1"/>
  <c r="D1085" i="1"/>
  <c r="E1085" i="1"/>
  <c r="F1085" i="1"/>
  <c r="G1085" i="1"/>
  <c r="H1085" i="1"/>
  <c r="I1085" i="1"/>
  <c r="J1085" i="1"/>
  <c r="M1085" i="1"/>
  <c r="N1085" i="1"/>
  <c r="O1085" i="1"/>
  <c r="P1085" i="1"/>
  <c r="Q1085" i="1"/>
  <c r="R1085" i="1"/>
  <c r="S1085" i="1"/>
  <c r="T1085" i="1"/>
  <c r="U1085" i="1"/>
  <c r="A1075" i="1"/>
  <c r="B1075" i="1"/>
  <c r="C1075" i="1"/>
  <c r="D1075" i="1"/>
  <c r="E1075" i="1"/>
  <c r="F1075" i="1"/>
  <c r="G1075" i="1"/>
  <c r="H1075" i="1"/>
  <c r="I1075" i="1"/>
  <c r="J1075" i="1"/>
  <c r="M1075" i="1"/>
  <c r="N1075" i="1"/>
  <c r="O1075" i="1"/>
  <c r="P1075" i="1"/>
  <c r="Q1075" i="1"/>
  <c r="R1075" i="1"/>
  <c r="S1075" i="1"/>
  <c r="T1075" i="1"/>
  <c r="U1075" i="1"/>
  <c r="A1076" i="1"/>
  <c r="B1076" i="1"/>
  <c r="C1076" i="1"/>
  <c r="D1076" i="1"/>
  <c r="E1076" i="1"/>
  <c r="F1076" i="1"/>
  <c r="G1076" i="1"/>
  <c r="H1076" i="1"/>
  <c r="I1076" i="1"/>
  <c r="J1076" i="1"/>
  <c r="M1076" i="1"/>
  <c r="N1076" i="1"/>
  <c r="O1076" i="1"/>
  <c r="P1076" i="1"/>
  <c r="Q1076" i="1"/>
  <c r="R1076" i="1"/>
  <c r="S1076" i="1"/>
  <c r="T1076" i="1"/>
  <c r="U1076" i="1"/>
  <c r="A870" i="1"/>
  <c r="B870" i="1"/>
  <c r="C870" i="1"/>
  <c r="D870" i="1"/>
  <c r="E870" i="1"/>
  <c r="F870" i="1"/>
  <c r="G870" i="1"/>
  <c r="H870" i="1"/>
  <c r="I870" i="1"/>
  <c r="J870" i="1"/>
  <c r="M870" i="1"/>
  <c r="N870" i="1"/>
  <c r="O870" i="1"/>
  <c r="P870" i="1"/>
  <c r="Q870" i="1"/>
  <c r="R870" i="1"/>
  <c r="S870" i="1"/>
  <c r="T870" i="1"/>
  <c r="U870" i="1"/>
  <c r="A865" i="1"/>
  <c r="B865" i="1"/>
  <c r="C865" i="1"/>
  <c r="D865" i="1"/>
  <c r="E865" i="1"/>
  <c r="F865" i="1"/>
  <c r="G865" i="1"/>
  <c r="H865" i="1"/>
  <c r="I865" i="1"/>
  <c r="J865" i="1"/>
  <c r="M865" i="1"/>
  <c r="N865" i="1"/>
  <c r="O865" i="1"/>
  <c r="P865" i="1"/>
  <c r="Q865" i="1"/>
  <c r="R865" i="1"/>
  <c r="S865" i="1"/>
  <c r="T865" i="1"/>
  <c r="U865" i="1"/>
  <c r="A868" i="1"/>
  <c r="B868" i="1"/>
  <c r="C868" i="1"/>
  <c r="D868" i="1"/>
  <c r="E868" i="1"/>
  <c r="F868" i="1"/>
  <c r="G868" i="1"/>
  <c r="H868" i="1"/>
  <c r="I868" i="1"/>
  <c r="J868" i="1"/>
  <c r="M868" i="1"/>
  <c r="N868" i="1"/>
  <c r="O868" i="1"/>
  <c r="P868" i="1"/>
  <c r="Q868" i="1"/>
  <c r="R868" i="1"/>
  <c r="S868" i="1"/>
  <c r="T868" i="1"/>
  <c r="U868" i="1"/>
  <c r="A864" i="1"/>
  <c r="B864" i="1"/>
  <c r="C864" i="1"/>
  <c r="D864" i="1"/>
  <c r="E864" i="1"/>
  <c r="F864" i="1"/>
  <c r="G864" i="1"/>
  <c r="H864" i="1"/>
  <c r="I864" i="1"/>
  <c r="J864" i="1"/>
  <c r="M864" i="1"/>
  <c r="N864" i="1"/>
  <c r="O864" i="1"/>
  <c r="Q864" i="1"/>
  <c r="R864" i="1"/>
  <c r="S864" i="1"/>
  <c r="T864" i="1"/>
  <c r="U864" i="1"/>
  <c r="A866" i="1"/>
  <c r="B866" i="1"/>
  <c r="C866" i="1"/>
  <c r="D866" i="1"/>
  <c r="E866" i="1"/>
  <c r="F866" i="1"/>
  <c r="G866" i="1"/>
  <c r="H866" i="1"/>
  <c r="I866" i="1"/>
  <c r="J866" i="1"/>
  <c r="M866" i="1"/>
  <c r="N866" i="1"/>
  <c r="O866" i="1"/>
  <c r="P866" i="1"/>
  <c r="Q866" i="1"/>
  <c r="R866" i="1"/>
  <c r="S866" i="1"/>
  <c r="T866" i="1"/>
  <c r="U866" i="1"/>
  <c r="A867" i="1"/>
  <c r="B867" i="1"/>
  <c r="C867" i="1"/>
  <c r="D867" i="1"/>
  <c r="E867" i="1"/>
  <c r="F867" i="1"/>
  <c r="G867" i="1"/>
  <c r="H867" i="1"/>
  <c r="I867" i="1"/>
  <c r="J867" i="1"/>
  <c r="M867" i="1"/>
  <c r="N867" i="1"/>
  <c r="O867" i="1"/>
  <c r="P867" i="1"/>
  <c r="Q867" i="1"/>
  <c r="R867" i="1"/>
  <c r="S867" i="1"/>
  <c r="T867" i="1"/>
  <c r="U867" i="1"/>
  <c r="A871" i="1"/>
  <c r="B871" i="1"/>
  <c r="C871" i="1"/>
  <c r="D871" i="1"/>
  <c r="E871" i="1"/>
  <c r="F871" i="1"/>
  <c r="G871" i="1"/>
  <c r="H871" i="1"/>
  <c r="I871" i="1"/>
  <c r="J871" i="1"/>
  <c r="M871" i="1"/>
  <c r="N871" i="1"/>
  <c r="O871" i="1"/>
  <c r="P871" i="1"/>
  <c r="Q871" i="1"/>
  <c r="R871" i="1"/>
  <c r="S871" i="1"/>
  <c r="T871" i="1"/>
  <c r="U871" i="1"/>
  <c r="A869" i="1"/>
  <c r="B869" i="1"/>
  <c r="C869" i="1"/>
  <c r="D869" i="1"/>
  <c r="E869" i="1"/>
  <c r="F869" i="1"/>
  <c r="G869" i="1"/>
  <c r="H869" i="1"/>
  <c r="I869" i="1"/>
  <c r="J869" i="1"/>
  <c r="M869" i="1"/>
  <c r="N869" i="1"/>
  <c r="O869" i="1"/>
  <c r="P869" i="1"/>
  <c r="Q869" i="1"/>
  <c r="R869" i="1"/>
  <c r="S869" i="1"/>
  <c r="T869" i="1"/>
  <c r="U869" i="1"/>
  <c r="A791" i="1"/>
  <c r="B791" i="1"/>
  <c r="C791" i="1"/>
  <c r="D791" i="1"/>
  <c r="E791" i="1"/>
  <c r="F791" i="1"/>
  <c r="G791" i="1"/>
  <c r="H791" i="1"/>
  <c r="I791" i="1"/>
  <c r="J791" i="1"/>
  <c r="M791" i="1"/>
  <c r="N791" i="1"/>
  <c r="O791" i="1"/>
  <c r="P791" i="1"/>
  <c r="Q791" i="1"/>
  <c r="R791" i="1"/>
  <c r="S791" i="1"/>
  <c r="T791" i="1"/>
  <c r="U791" i="1"/>
  <c r="A698" i="1"/>
  <c r="B698" i="1"/>
  <c r="C698" i="1"/>
  <c r="D698" i="1"/>
  <c r="E698" i="1"/>
  <c r="F698" i="1"/>
  <c r="G698" i="1"/>
  <c r="H698" i="1"/>
  <c r="I698" i="1"/>
  <c r="J698" i="1"/>
  <c r="M698" i="1"/>
  <c r="N698" i="1"/>
  <c r="O698" i="1"/>
  <c r="P698" i="1"/>
  <c r="Q698" i="1"/>
  <c r="R698" i="1"/>
  <c r="S698" i="1"/>
  <c r="T698" i="1"/>
  <c r="U698" i="1"/>
  <c r="A630" i="1"/>
  <c r="B630" i="1"/>
  <c r="C630" i="1"/>
  <c r="D630" i="1"/>
  <c r="E630" i="1"/>
  <c r="F630" i="1"/>
  <c r="G630" i="1"/>
  <c r="H630" i="1"/>
  <c r="I630" i="1"/>
  <c r="J630" i="1"/>
  <c r="M630" i="1"/>
  <c r="N630" i="1"/>
  <c r="O630" i="1"/>
  <c r="P630" i="1"/>
  <c r="Q630" i="1"/>
  <c r="R630" i="1"/>
  <c r="S630" i="1"/>
  <c r="T630" i="1"/>
  <c r="U630" i="1"/>
  <c r="A631" i="1"/>
  <c r="B631" i="1"/>
  <c r="C631" i="1"/>
  <c r="D631" i="1"/>
  <c r="E631" i="1"/>
  <c r="F631" i="1"/>
  <c r="G631" i="1"/>
  <c r="H631" i="1"/>
  <c r="I631" i="1"/>
  <c r="J631" i="1"/>
  <c r="M631" i="1"/>
  <c r="N631" i="1"/>
  <c r="O631" i="1"/>
  <c r="P631" i="1"/>
  <c r="Q631" i="1"/>
  <c r="R631" i="1"/>
  <c r="S631" i="1"/>
  <c r="T631" i="1"/>
  <c r="U631" i="1"/>
  <c r="A505" i="1"/>
  <c r="B505" i="1"/>
  <c r="C505" i="1"/>
  <c r="D505" i="1"/>
  <c r="E505" i="1"/>
  <c r="F505" i="1"/>
  <c r="G505" i="1"/>
  <c r="H505" i="1"/>
  <c r="I505" i="1"/>
  <c r="J505" i="1"/>
  <c r="M505" i="1"/>
  <c r="N505" i="1"/>
  <c r="O505" i="1"/>
  <c r="P505" i="1"/>
  <c r="Q505" i="1"/>
  <c r="R505" i="1"/>
  <c r="S505" i="1"/>
  <c r="T505" i="1"/>
  <c r="U505" i="1"/>
  <c r="A506" i="1"/>
  <c r="B506" i="1"/>
  <c r="C506" i="1"/>
  <c r="D506" i="1"/>
  <c r="E506" i="1"/>
  <c r="F506" i="1"/>
  <c r="G506" i="1"/>
  <c r="H506" i="1"/>
  <c r="I506" i="1"/>
  <c r="J506" i="1"/>
  <c r="M506" i="1"/>
  <c r="N506" i="1"/>
  <c r="O506" i="1"/>
  <c r="P506" i="1"/>
  <c r="Q506" i="1"/>
  <c r="R506" i="1"/>
  <c r="S506" i="1"/>
  <c r="T506" i="1"/>
  <c r="U506" i="1"/>
  <c r="A507" i="1"/>
  <c r="B507" i="1"/>
  <c r="C507" i="1"/>
  <c r="D507" i="1"/>
  <c r="E507" i="1"/>
  <c r="F507" i="1"/>
  <c r="G507" i="1"/>
  <c r="H507" i="1"/>
  <c r="I507" i="1"/>
  <c r="J507" i="1"/>
  <c r="M507" i="1"/>
  <c r="N507" i="1"/>
  <c r="O507" i="1"/>
  <c r="P507" i="1"/>
  <c r="Q507" i="1"/>
  <c r="R507" i="1"/>
  <c r="S507" i="1"/>
  <c r="T507" i="1"/>
  <c r="U507" i="1"/>
  <c r="A508" i="1"/>
  <c r="B508" i="1"/>
  <c r="C508" i="1"/>
  <c r="D508" i="1"/>
  <c r="E508" i="1"/>
  <c r="F508" i="1"/>
  <c r="G508" i="1"/>
  <c r="H508" i="1"/>
  <c r="I508" i="1"/>
  <c r="J508" i="1"/>
  <c r="M508" i="1"/>
  <c r="N508" i="1"/>
  <c r="O508" i="1"/>
  <c r="P508" i="1"/>
  <c r="Q508" i="1"/>
  <c r="R508" i="1"/>
  <c r="S508" i="1"/>
  <c r="T508" i="1"/>
  <c r="U508" i="1"/>
  <c r="A441" i="1"/>
  <c r="B441" i="1"/>
  <c r="C441" i="1"/>
  <c r="D441" i="1"/>
  <c r="E441" i="1"/>
  <c r="F441" i="1"/>
  <c r="G441" i="1"/>
  <c r="H441" i="1"/>
  <c r="I441" i="1"/>
  <c r="J441" i="1"/>
  <c r="M441" i="1"/>
  <c r="N441" i="1"/>
  <c r="O441" i="1"/>
  <c r="P441" i="1"/>
  <c r="Q441" i="1"/>
  <c r="R441" i="1"/>
  <c r="S441" i="1"/>
  <c r="T441" i="1"/>
  <c r="U441" i="1"/>
  <c r="A442" i="1"/>
  <c r="B442" i="1"/>
  <c r="C442" i="1"/>
  <c r="D442" i="1"/>
  <c r="E442" i="1"/>
  <c r="F442" i="1"/>
  <c r="G442" i="1"/>
  <c r="H442" i="1"/>
  <c r="I442" i="1"/>
  <c r="J442" i="1"/>
  <c r="M442" i="1"/>
  <c r="N442" i="1"/>
  <c r="O442" i="1"/>
  <c r="P442" i="1"/>
  <c r="Q442" i="1"/>
  <c r="R442" i="1"/>
  <c r="S442" i="1"/>
  <c r="T442" i="1"/>
  <c r="U442" i="1"/>
  <c r="A168" i="1"/>
  <c r="B168" i="1"/>
  <c r="C168" i="1"/>
  <c r="D168" i="1"/>
  <c r="E168" i="1"/>
  <c r="F168" i="1"/>
  <c r="G168" i="1"/>
  <c r="H168" i="1"/>
  <c r="I168" i="1"/>
  <c r="J168" i="1"/>
  <c r="M168" i="1"/>
  <c r="N168" i="1"/>
  <c r="O168" i="1"/>
  <c r="P168" i="1"/>
  <c r="Q168" i="1"/>
  <c r="R168" i="1"/>
  <c r="S168" i="1"/>
  <c r="T168" i="1"/>
  <c r="U168" i="1"/>
  <c r="A169" i="1"/>
  <c r="B169" i="1"/>
  <c r="C169" i="1"/>
  <c r="D169" i="1"/>
  <c r="E169" i="1"/>
  <c r="F169" i="1"/>
  <c r="G169" i="1"/>
  <c r="H169" i="1"/>
  <c r="I169" i="1"/>
  <c r="J169" i="1"/>
  <c r="M169" i="1"/>
  <c r="N169" i="1"/>
  <c r="O169" i="1"/>
  <c r="P169" i="1"/>
  <c r="Q169" i="1"/>
  <c r="R169" i="1"/>
  <c r="S169" i="1"/>
  <c r="U169" i="1"/>
  <c r="A170" i="1"/>
  <c r="B170" i="1"/>
  <c r="C170" i="1"/>
  <c r="D170" i="1"/>
  <c r="E170" i="1"/>
  <c r="F170" i="1"/>
  <c r="G170" i="1"/>
  <c r="H170" i="1"/>
  <c r="I170" i="1"/>
  <c r="J170" i="1"/>
  <c r="M170" i="1"/>
  <c r="N170" i="1"/>
  <c r="O170" i="1"/>
  <c r="P170" i="1"/>
  <c r="Q170" i="1"/>
  <c r="R170" i="1"/>
  <c r="S170" i="1"/>
  <c r="T170" i="1"/>
  <c r="U170" i="1"/>
  <c r="A171" i="1"/>
  <c r="B171" i="1"/>
  <c r="C171" i="1"/>
  <c r="D171" i="1"/>
  <c r="E171" i="1"/>
  <c r="F171" i="1"/>
  <c r="G171" i="1"/>
  <c r="H171" i="1"/>
  <c r="I171" i="1"/>
  <c r="J171" i="1"/>
  <c r="M171" i="1"/>
  <c r="N171" i="1"/>
  <c r="O171" i="1"/>
  <c r="P171" i="1"/>
  <c r="Q171" i="1"/>
  <c r="R171" i="1"/>
  <c r="S171" i="1"/>
  <c r="T171" i="1"/>
  <c r="U171" i="1"/>
  <c r="A788" i="1"/>
  <c r="B788" i="1"/>
  <c r="C788" i="1"/>
  <c r="D788" i="1"/>
  <c r="E788" i="1"/>
  <c r="F788" i="1"/>
  <c r="G788" i="1"/>
  <c r="H788" i="1"/>
  <c r="I788" i="1"/>
  <c r="J788" i="1"/>
  <c r="M788" i="1"/>
  <c r="N788" i="1"/>
  <c r="O788" i="1"/>
  <c r="P788" i="1"/>
  <c r="Q788" i="1"/>
  <c r="R788" i="1"/>
  <c r="S788" i="1"/>
  <c r="T788" i="1"/>
  <c r="U788" i="1"/>
  <c r="A800" i="1"/>
  <c r="B800" i="1"/>
  <c r="C800" i="1"/>
  <c r="D800" i="1"/>
  <c r="E800" i="1"/>
  <c r="F800" i="1"/>
  <c r="G800" i="1"/>
  <c r="H800" i="1"/>
  <c r="I800" i="1"/>
  <c r="J800" i="1"/>
  <c r="M800" i="1"/>
  <c r="O800" i="1"/>
  <c r="P800" i="1"/>
  <c r="Q800" i="1"/>
  <c r="R800" i="1"/>
  <c r="S800" i="1"/>
  <c r="T800" i="1"/>
  <c r="U800" i="1"/>
  <c r="A910" i="1"/>
  <c r="B910" i="1"/>
  <c r="C910" i="1"/>
  <c r="D910" i="1"/>
  <c r="E910" i="1"/>
  <c r="F910" i="1"/>
  <c r="G910" i="1"/>
  <c r="H910" i="1"/>
  <c r="I910" i="1"/>
  <c r="J910" i="1"/>
  <c r="M910" i="1"/>
  <c r="N910" i="1"/>
  <c r="O910" i="1"/>
  <c r="P910" i="1"/>
  <c r="Q910" i="1"/>
  <c r="R910" i="1"/>
  <c r="S910" i="1"/>
  <c r="U910" i="1"/>
  <c r="A905" i="1"/>
  <c r="B905" i="1"/>
  <c r="C905" i="1"/>
  <c r="D905" i="1"/>
  <c r="E905" i="1"/>
  <c r="F905" i="1"/>
  <c r="G905" i="1"/>
  <c r="H905" i="1"/>
  <c r="I905" i="1"/>
  <c r="J905" i="1"/>
  <c r="M905" i="1"/>
  <c r="N905" i="1"/>
  <c r="O905" i="1"/>
  <c r="Q905" i="1"/>
  <c r="R905" i="1"/>
  <c r="S905" i="1"/>
  <c r="U905" i="1"/>
  <c r="A238" i="1"/>
  <c r="B238" i="1"/>
  <c r="C238" i="1"/>
  <c r="D238" i="1"/>
  <c r="E238" i="1"/>
  <c r="F238" i="1"/>
  <c r="G238" i="1"/>
  <c r="H238" i="1"/>
  <c r="I238" i="1"/>
  <c r="J238" i="1"/>
  <c r="M238" i="1"/>
  <c r="N238" i="1"/>
  <c r="O238" i="1"/>
  <c r="P238" i="1"/>
  <c r="Q238" i="1"/>
  <c r="R238" i="1"/>
  <c r="S238" i="1"/>
  <c r="U238" i="1"/>
  <c r="A1500" i="1"/>
  <c r="B1500" i="1"/>
  <c r="C1500" i="1"/>
  <c r="D1500" i="1"/>
  <c r="E1500" i="1"/>
  <c r="F1500" i="1"/>
  <c r="G1500" i="1"/>
  <c r="H1500" i="1"/>
  <c r="I1500" i="1"/>
  <c r="J1500" i="1"/>
  <c r="M1500" i="1"/>
  <c r="N1500" i="1"/>
  <c r="O1500" i="1"/>
  <c r="P1500" i="1"/>
  <c r="Q1500" i="1"/>
  <c r="R1500" i="1"/>
  <c r="S1500" i="1"/>
  <c r="U1500" i="1"/>
  <c r="A1848" i="1"/>
  <c r="B1848" i="1"/>
  <c r="C1848" i="1"/>
  <c r="D1848" i="1"/>
  <c r="E1848" i="1"/>
  <c r="F1848" i="1"/>
  <c r="G1848" i="1"/>
  <c r="H1848" i="1"/>
  <c r="I1848" i="1"/>
  <c r="J1848" i="1"/>
  <c r="M1848" i="1"/>
  <c r="O1848" i="1"/>
  <c r="P1848" i="1"/>
  <c r="Q1848" i="1"/>
  <c r="R1848" i="1"/>
  <c r="S1848" i="1"/>
  <c r="U1848" i="1"/>
  <c r="A621" i="1"/>
  <c r="B621" i="1"/>
  <c r="C621" i="1"/>
  <c r="D621" i="1"/>
  <c r="E621" i="1"/>
  <c r="F621" i="1"/>
  <c r="G621" i="1"/>
  <c r="H621" i="1"/>
  <c r="I621" i="1"/>
  <c r="J621" i="1"/>
  <c r="M621" i="1"/>
  <c r="N621" i="1"/>
  <c r="O621" i="1"/>
  <c r="P621" i="1"/>
  <c r="Q621" i="1"/>
  <c r="R621" i="1"/>
  <c r="S621" i="1"/>
  <c r="T621" i="1"/>
  <c r="U621" i="1"/>
  <c r="A735" i="1"/>
  <c r="B735" i="1"/>
  <c r="C735" i="1"/>
  <c r="D735" i="1"/>
  <c r="E735" i="1"/>
  <c r="F735" i="1"/>
  <c r="G735" i="1"/>
  <c r="H735" i="1"/>
  <c r="I735" i="1"/>
  <c r="J735" i="1"/>
  <c r="M735" i="1"/>
  <c r="N735" i="1"/>
  <c r="O735" i="1"/>
  <c r="P735" i="1"/>
  <c r="Q735" i="1"/>
  <c r="R735" i="1"/>
  <c r="S735" i="1"/>
  <c r="U735" i="1"/>
  <c r="A1280" i="1"/>
  <c r="B1280" i="1"/>
  <c r="C1280" i="1"/>
  <c r="D1280" i="1"/>
  <c r="E1280" i="1"/>
  <c r="F1280" i="1"/>
  <c r="G1280" i="1"/>
  <c r="H1280" i="1"/>
  <c r="I1280" i="1"/>
  <c r="J1280" i="1"/>
  <c r="M1280" i="1"/>
  <c r="N1280" i="1"/>
  <c r="O1280" i="1"/>
  <c r="Q1280" i="1"/>
  <c r="R1280" i="1"/>
  <c r="S1280" i="1"/>
  <c r="T1280" i="1"/>
  <c r="U1280" i="1"/>
  <c r="A1746" i="1"/>
  <c r="B1746" i="1"/>
  <c r="C1746" i="1"/>
  <c r="D1746" i="1"/>
  <c r="E1746" i="1"/>
  <c r="F1746" i="1"/>
  <c r="G1746" i="1"/>
  <c r="H1746" i="1"/>
  <c r="I1746" i="1"/>
  <c r="J1746" i="1"/>
  <c r="M1746" i="1"/>
  <c r="N1746" i="1"/>
  <c r="O1746" i="1"/>
  <c r="P1746" i="1"/>
  <c r="Q1746" i="1"/>
  <c r="R1746" i="1"/>
  <c r="S1746" i="1"/>
  <c r="U1746" i="1"/>
  <c r="A724" i="1"/>
  <c r="B724" i="1"/>
  <c r="C724" i="1"/>
  <c r="D724" i="1"/>
  <c r="E724" i="1"/>
  <c r="F724" i="1"/>
  <c r="G724" i="1"/>
  <c r="H724" i="1"/>
  <c r="I724" i="1"/>
  <c r="J724" i="1"/>
  <c r="M724" i="1"/>
  <c r="N724" i="1"/>
  <c r="O724" i="1"/>
  <c r="P724" i="1"/>
  <c r="Q724" i="1"/>
  <c r="R724" i="1"/>
  <c r="S724" i="1"/>
  <c r="T724" i="1"/>
  <c r="U724" i="1"/>
  <c r="A1166" i="1"/>
  <c r="B1166" i="1"/>
  <c r="C1166" i="1"/>
  <c r="D1166" i="1"/>
  <c r="E1166" i="1"/>
  <c r="F1166" i="1"/>
  <c r="G1166" i="1"/>
  <c r="H1166" i="1"/>
  <c r="I1166" i="1"/>
  <c r="J1166" i="1"/>
  <c r="M1166" i="1"/>
  <c r="O1166" i="1"/>
  <c r="P1166" i="1"/>
  <c r="Q1166" i="1"/>
  <c r="R1166" i="1"/>
  <c r="S1166" i="1"/>
  <c r="T1166" i="1"/>
  <c r="U1166" i="1"/>
  <c r="A723" i="1"/>
  <c r="B723" i="1"/>
  <c r="C723" i="1"/>
  <c r="D723" i="1"/>
  <c r="E723" i="1"/>
  <c r="F723" i="1"/>
  <c r="G723" i="1"/>
  <c r="H723" i="1"/>
  <c r="I723" i="1"/>
  <c r="J723" i="1"/>
  <c r="M723" i="1"/>
  <c r="N723" i="1"/>
  <c r="O723" i="1"/>
  <c r="Q723" i="1"/>
  <c r="R723" i="1"/>
  <c r="S723" i="1"/>
  <c r="T723" i="1"/>
  <c r="U723" i="1"/>
  <c r="A532" i="1"/>
  <c r="B532" i="1"/>
  <c r="C532" i="1"/>
  <c r="D532" i="1"/>
  <c r="E532" i="1"/>
  <c r="F532" i="1"/>
  <c r="G532" i="1"/>
  <c r="H532" i="1"/>
  <c r="I532" i="1"/>
  <c r="J532" i="1"/>
  <c r="M532" i="1"/>
  <c r="N532" i="1"/>
  <c r="O532" i="1"/>
  <c r="P532" i="1"/>
  <c r="Q532" i="1"/>
  <c r="R532" i="1"/>
  <c r="S532" i="1"/>
  <c r="U532" i="1"/>
  <c r="A137" i="1"/>
  <c r="B137" i="1"/>
  <c r="C137" i="1"/>
  <c r="D137" i="1"/>
  <c r="E137" i="1"/>
  <c r="F137" i="1"/>
  <c r="G137" i="1"/>
  <c r="H137" i="1"/>
  <c r="I137" i="1"/>
  <c r="J137" i="1"/>
  <c r="M137" i="1"/>
  <c r="N137" i="1"/>
  <c r="O137" i="1"/>
  <c r="P137" i="1"/>
  <c r="Q137" i="1"/>
  <c r="R137" i="1"/>
  <c r="S137" i="1"/>
  <c r="T137" i="1"/>
  <c r="U137" i="1"/>
  <c r="A954" i="1"/>
  <c r="B954" i="1"/>
  <c r="C954" i="1"/>
  <c r="D954" i="1"/>
  <c r="E954" i="1"/>
  <c r="F954" i="1"/>
  <c r="G954" i="1"/>
  <c r="H954" i="1"/>
  <c r="I954" i="1"/>
  <c r="J954" i="1"/>
  <c r="M954" i="1"/>
  <c r="N954" i="1"/>
  <c r="O954" i="1"/>
  <c r="P954" i="1"/>
  <c r="Q954" i="1"/>
  <c r="R954" i="1"/>
  <c r="S954" i="1"/>
  <c r="T954" i="1"/>
  <c r="U954" i="1"/>
  <c r="A138" i="1"/>
  <c r="B138" i="1"/>
  <c r="C138" i="1"/>
  <c r="D138" i="1"/>
  <c r="E138" i="1"/>
  <c r="F138" i="1"/>
  <c r="G138" i="1"/>
  <c r="H138" i="1"/>
  <c r="I138" i="1"/>
  <c r="J138" i="1"/>
  <c r="M138" i="1"/>
  <c r="N138" i="1"/>
  <c r="O138" i="1"/>
  <c r="P138" i="1"/>
  <c r="Q138" i="1"/>
  <c r="R138" i="1"/>
  <c r="S138" i="1"/>
  <c r="T138" i="1"/>
  <c r="U138" i="1"/>
  <c r="A1203" i="1"/>
  <c r="B1203" i="1"/>
  <c r="C1203" i="1"/>
  <c r="D1203" i="1"/>
  <c r="E1203" i="1"/>
  <c r="F1203" i="1"/>
  <c r="G1203" i="1"/>
  <c r="H1203" i="1"/>
  <c r="I1203" i="1"/>
  <c r="J1203" i="1"/>
  <c r="M1203" i="1"/>
  <c r="N1203" i="1"/>
  <c r="O1203" i="1"/>
  <c r="P1203" i="1"/>
  <c r="Q1203" i="1"/>
  <c r="R1203" i="1"/>
  <c r="S1203" i="1"/>
  <c r="T1203" i="1"/>
  <c r="U1203" i="1"/>
  <c r="A201" i="1"/>
  <c r="B201" i="1"/>
  <c r="C201" i="1"/>
  <c r="D201" i="1"/>
  <c r="E201" i="1"/>
  <c r="F201" i="1"/>
  <c r="G201" i="1"/>
  <c r="H201" i="1"/>
  <c r="I201" i="1"/>
  <c r="J201" i="1"/>
  <c r="M201" i="1"/>
  <c r="N201" i="1"/>
  <c r="O201" i="1"/>
  <c r="P201" i="1"/>
  <c r="Q201" i="1"/>
  <c r="R201" i="1"/>
  <c r="S201" i="1"/>
  <c r="T201" i="1"/>
  <c r="U201" i="1"/>
  <c r="A1386" i="1"/>
  <c r="B1386" i="1"/>
  <c r="C1386" i="1"/>
  <c r="D1386" i="1"/>
  <c r="E1386" i="1"/>
  <c r="F1386" i="1"/>
  <c r="G1386" i="1"/>
  <c r="H1386" i="1"/>
  <c r="I1386" i="1"/>
  <c r="J1386" i="1"/>
  <c r="M1386" i="1"/>
  <c r="O1386" i="1"/>
  <c r="P1386" i="1"/>
  <c r="Q1386" i="1"/>
  <c r="R1386" i="1"/>
  <c r="S1386" i="1"/>
  <c r="U1386" i="1"/>
  <c r="A414" i="1"/>
  <c r="B414" i="1"/>
  <c r="C414" i="1"/>
  <c r="D414" i="1"/>
  <c r="E414" i="1"/>
  <c r="F414" i="1"/>
  <c r="G414" i="1"/>
  <c r="H414" i="1"/>
  <c r="I414" i="1"/>
  <c r="J414" i="1"/>
  <c r="M414" i="1"/>
  <c r="N414" i="1"/>
  <c r="O414" i="1"/>
  <c r="P414" i="1"/>
  <c r="Q414" i="1"/>
  <c r="R414" i="1"/>
  <c r="S414" i="1"/>
  <c r="T414" i="1"/>
  <c r="U414" i="1"/>
  <c r="A1202" i="1"/>
  <c r="B1202" i="1"/>
  <c r="C1202" i="1"/>
  <c r="D1202" i="1"/>
  <c r="E1202" i="1"/>
  <c r="F1202" i="1"/>
  <c r="G1202" i="1"/>
  <c r="H1202" i="1"/>
  <c r="I1202" i="1"/>
  <c r="J1202" i="1"/>
  <c r="M1202" i="1"/>
  <c r="N1202" i="1"/>
  <c r="O1202" i="1"/>
  <c r="P1202" i="1"/>
  <c r="Q1202" i="1"/>
  <c r="R1202" i="1"/>
  <c r="S1202" i="1"/>
  <c r="T1202" i="1"/>
  <c r="U1202" i="1"/>
  <c r="A938" i="1"/>
  <c r="B938" i="1"/>
  <c r="C938" i="1"/>
  <c r="D938" i="1"/>
  <c r="E938" i="1"/>
  <c r="F938" i="1"/>
  <c r="G938" i="1"/>
  <c r="H938" i="1"/>
  <c r="I938" i="1"/>
  <c r="J938" i="1"/>
  <c r="M938" i="1"/>
  <c r="N938" i="1"/>
  <c r="O938" i="1"/>
  <c r="P938" i="1"/>
  <c r="Q938" i="1"/>
  <c r="R938" i="1"/>
  <c r="S938" i="1"/>
  <c r="U938" i="1"/>
  <c r="A810" i="1"/>
  <c r="B810" i="1"/>
  <c r="C810" i="1"/>
  <c r="D810" i="1"/>
  <c r="E810" i="1"/>
  <c r="F810" i="1"/>
  <c r="G810" i="1"/>
  <c r="H810" i="1"/>
  <c r="I810" i="1"/>
  <c r="J810" i="1"/>
  <c r="M810" i="1"/>
  <c r="O810" i="1"/>
  <c r="P810" i="1"/>
  <c r="Q810" i="1"/>
  <c r="R810" i="1"/>
  <c r="S810" i="1"/>
  <c r="T810" i="1"/>
  <c r="U810" i="1"/>
  <c r="A1599" i="1"/>
  <c r="B1599" i="1"/>
  <c r="C1599" i="1"/>
  <c r="D1599" i="1"/>
  <c r="E1599" i="1"/>
  <c r="F1599" i="1"/>
  <c r="G1599" i="1"/>
  <c r="H1599" i="1"/>
  <c r="I1599" i="1"/>
  <c r="J1599" i="1"/>
  <c r="M1599" i="1"/>
  <c r="O1599" i="1"/>
  <c r="P1599" i="1"/>
  <c r="Q1599" i="1"/>
  <c r="R1599" i="1"/>
  <c r="S1599" i="1"/>
  <c r="T1599" i="1"/>
  <c r="U1599" i="1"/>
  <c r="A1011" i="1"/>
  <c r="B1011" i="1"/>
  <c r="C1011" i="1"/>
  <c r="D1011" i="1"/>
  <c r="E1011" i="1"/>
  <c r="F1011" i="1"/>
  <c r="G1011" i="1"/>
  <c r="H1011" i="1"/>
  <c r="I1011" i="1"/>
  <c r="J1011" i="1"/>
  <c r="M1011" i="1"/>
  <c r="O1011" i="1"/>
  <c r="Q1011" i="1"/>
  <c r="R1011" i="1"/>
  <c r="S1011" i="1"/>
  <c r="T1011" i="1"/>
  <c r="U1011" i="1"/>
  <c r="A159" i="1"/>
  <c r="B159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O159" i="1"/>
  <c r="P159" i="1"/>
  <c r="Q159" i="1"/>
  <c r="R159" i="1"/>
  <c r="S159" i="1"/>
  <c r="T159" i="1"/>
  <c r="U159" i="1"/>
  <c r="A1830" i="1"/>
  <c r="B1830" i="1"/>
  <c r="C1830" i="1"/>
  <c r="D1830" i="1"/>
  <c r="E1830" i="1"/>
  <c r="F1830" i="1"/>
  <c r="G1830" i="1"/>
  <c r="H1830" i="1"/>
  <c r="I1830" i="1"/>
  <c r="J1830" i="1"/>
  <c r="K1830" i="1"/>
  <c r="L1830" i="1"/>
  <c r="M1830" i="1"/>
  <c r="N1830" i="1"/>
  <c r="O1830" i="1"/>
  <c r="P1830" i="1"/>
  <c r="Q1830" i="1"/>
  <c r="R1830" i="1"/>
  <c r="S1830" i="1"/>
  <c r="T1830" i="1"/>
  <c r="U1830" i="1"/>
  <c r="A1770" i="1"/>
  <c r="B1770" i="1"/>
  <c r="C1770" i="1"/>
  <c r="D1770" i="1"/>
  <c r="E1770" i="1"/>
  <c r="F1770" i="1"/>
  <c r="G1770" i="1"/>
  <c r="H1770" i="1"/>
  <c r="I1770" i="1"/>
  <c r="J1770" i="1"/>
  <c r="K1770" i="1"/>
  <c r="L1770" i="1"/>
  <c r="M1770" i="1"/>
  <c r="N1770" i="1"/>
  <c r="O1770" i="1"/>
  <c r="Q1770" i="1"/>
  <c r="R1770" i="1"/>
  <c r="S1770" i="1"/>
  <c r="T1770" i="1"/>
  <c r="U1770" i="1"/>
  <c r="A1769" i="1"/>
  <c r="B1769" i="1"/>
  <c r="C1769" i="1"/>
  <c r="D1769" i="1"/>
  <c r="E1769" i="1"/>
  <c r="F1769" i="1"/>
  <c r="G1769" i="1"/>
  <c r="H1769" i="1"/>
  <c r="I1769" i="1"/>
  <c r="J1769" i="1"/>
  <c r="K1769" i="1"/>
  <c r="L1769" i="1"/>
  <c r="M1769" i="1"/>
  <c r="N1769" i="1"/>
  <c r="O1769" i="1"/>
  <c r="Q1769" i="1"/>
  <c r="R1769" i="1"/>
  <c r="S1769" i="1"/>
  <c r="T1769" i="1"/>
  <c r="U1769" i="1"/>
  <c r="A1768" i="1"/>
  <c r="B1768" i="1"/>
  <c r="C1768" i="1"/>
  <c r="D1768" i="1"/>
  <c r="E1768" i="1"/>
  <c r="F1768" i="1"/>
  <c r="G1768" i="1"/>
  <c r="H1768" i="1"/>
  <c r="I1768" i="1"/>
  <c r="J1768" i="1"/>
  <c r="K1768" i="1"/>
  <c r="L1768" i="1"/>
  <c r="M1768" i="1"/>
  <c r="N1768" i="1"/>
  <c r="O1768" i="1"/>
  <c r="Q1768" i="1"/>
  <c r="R1768" i="1"/>
  <c r="S1768" i="1"/>
  <c r="T1768" i="1"/>
  <c r="U1768" i="1"/>
  <c r="A1714" i="1"/>
  <c r="B1714" i="1"/>
  <c r="C1714" i="1"/>
  <c r="D1714" i="1"/>
  <c r="E1714" i="1"/>
  <c r="F1714" i="1"/>
  <c r="G1714" i="1"/>
  <c r="H1714" i="1"/>
  <c r="I1714" i="1"/>
  <c r="J1714" i="1"/>
  <c r="K1714" i="1"/>
  <c r="M1714" i="1"/>
  <c r="N1714" i="1"/>
  <c r="O1714" i="1"/>
  <c r="P1714" i="1"/>
  <c r="Q1714" i="1"/>
  <c r="R1714" i="1"/>
  <c r="S1714" i="1"/>
  <c r="T1714" i="1"/>
  <c r="U1714" i="1"/>
  <c r="A1710" i="1"/>
  <c r="B1710" i="1"/>
  <c r="C1710" i="1"/>
  <c r="D1710" i="1"/>
  <c r="E1710" i="1"/>
  <c r="F1710" i="1"/>
  <c r="G1710" i="1"/>
  <c r="H1710" i="1"/>
  <c r="I1710" i="1"/>
  <c r="J1710" i="1"/>
  <c r="K1710" i="1"/>
  <c r="L1710" i="1"/>
  <c r="M1710" i="1"/>
  <c r="N1710" i="1"/>
  <c r="O1710" i="1"/>
  <c r="P1710" i="1"/>
  <c r="Q1710" i="1"/>
  <c r="R1710" i="1"/>
  <c r="S1710" i="1"/>
  <c r="T1710" i="1"/>
  <c r="U1710" i="1"/>
  <c r="A1711" i="1"/>
  <c r="B1711" i="1"/>
  <c r="C1711" i="1"/>
  <c r="D1711" i="1"/>
  <c r="E1711" i="1"/>
  <c r="F1711" i="1"/>
  <c r="G1711" i="1"/>
  <c r="H1711" i="1"/>
  <c r="I1711" i="1"/>
  <c r="J1711" i="1"/>
  <c r="K1711" i="1"/>
  <c r="L1711" i="1"/>
  <c r="M1711" i="1"/>
  <c r="N1711" i="1"/>
  <c r="O1711" i="1"/>
  <c r="P1711" i="1"/>
  <c r="Q1711" i="1"/>
  <c r="R1711" i="1"/>
  <c r="S1711" i="1"/>
  <c r="T1711" i="1"/>
  <c r="U1711" i="1"/>
  <c r="A1712" i="1"/>
  <c r="B1712" i="1"/>
  <c r="C1712" i="1"/>
  <c r="D1712" i="1"/>
  <c r="E1712" i="1"/>
  <c r="F1712" i="1"/>
  <c r="G1712" i="1"/>
  <c r="H1712" i="1"/>
  <c r="I1712" i="1"/>
  <c r="J1712" i="1"/>
  <c r="K1712" i="1"/>
  <c r="L1712" i="1"/>
  <c r="M1712" i="1"/>
  <c r="N1712" i="1"/>
  <c r="O1712" i="1"/>
  <c r="P1712" i="1"/>
  <c r="Q1712" i="1"/>
  <c r="R1712" i="1"/>
  <c r="S1712" i="1"/>
  <c r="T1712" i="1"/>
  <c r="U1712" i="1"/>
  <c r="A1713" i="1"/>
  <c r="B1713" i="1"/>
  <c r="C1713" i="1"/>
  <c r="D1713" i="1"/>
  <c r="E1713" i="1"/>
  <c r="F1713" i="1"/>
  <c r="G1713" i="1"/>
  <c r="H1713" i="1"/>
  <c r="I1713" i="1"/>
  <c r="J1713" i="1"/>
  <c r="K1713" i="1"/>
  <c r="L1713" i="1"/>
  <c r="M1713" i="1"/>
  <c r="N1713" i="1"/>
  <c r="O1713" i="1"/>
  <c r="P1713" i="1"/>
  <c r="Q1713" i="1"/>
  <c r="R1713" i="1"/>
  <c r="S1713" i="1"/>
  <c r="T1713" i="1"/>
  <c r="U1713" i="1"/>
  <c r="A1635" i="1"/>
  <c r="B1635" i="1"/>
  <c r="C1635" i="1"/>
  <c r="D1635" i="1"/>
  <c r="E1635" i="1"/>
  <c r="F1635" i="1"/>
  <c r="G1635" i="1"/>
  <c r="H1635" i="1"/>
  <c r="I1635" i="1"/>
  <c r="J1635" i="1"/>
  <c r="K1635" i="1"/>
  <c r="L1635" i="1"/>
  <c r="M1635" i="1"/>
  <c r="N1635" i="1"/>
  <c r="O1635" i="1"/>
  <c r="P1635" i="1"/>
  <c r="Q1635" i="1"/>
  <c r="R1635" i="1"/>
  <c r="S1635" i="1"/>
  <c r="T1635" i="1"/>
  <c r="U1635" i="1"/>
  <c r="A1637" i="1"/>
  <c r="B1637" i="1"/>
  <c r="C1637" i="1"/>
  <c r="D1637" i="1"/>
  <c r="E1637" i="1"/>
  <c r="F1637" i="1"/>
  <c r="G1637" i="1"/>
  <c r="H1637" i="1"/>
  <c r="I1637" i="1"/>
  <c r="J1637" i="1"/>
  <c r="K1637" i="1"/>
  <c r="L1637" i="1"/>
  <c r="M1637" i="1"/>
  <c r="N1637" i="1"/>
  <c r="O1637" i="1"/>
  <c r="P1637" i="1"/>
  <c r="Q1637" i="1"/>
  <c r="R1637" i="1"/>
  <c r="S1637" i="1"/>
  <c r="T1637" i="1"/>
  <c r="U1637" i="1"/>
  <c r="A1636" i="1"/>
  <c r="B1636" i="1"/>
  <c r="C1636" i="1"/>
  <c r="D1636" i="1"/>
  <c r="E1636" i="1"/>
  <c r="F1636" i="1"/>
  <c r="G1636" i="1"/>
  <c r="H1636" i="1"/>
  <c r="I1636" i="1"/>
  <c r="J1636" i="1"/>
  <c r="K1636" i="1"/>
  <c r="L1636" i="1"/>
  <c r="M1636" i="1"/>
  <c r="N1636" i="1"/>
  <c r="O1636" i="1"/>
  <c r="Q1636" i="1"/>
  <c r="R1636" i="1"/>
  <c r="S1636" i="1"/>
  <c r="T1636" i="1"/>
  <c r="U1636" i="1"/>
  <c r="A1638" i="1"/>
  <c r="B1638" i="1"/>
  <c r="C1638" i="1"/>
  <c r="D1638" i="1"/>
  <c r="E1638" i="1"/>
  <c r="F1638" i="1"/>
  <c r="G1638" i="1"/>
  <c r="H1638" i="1"/>
  <c r="I1638" i="1"/>
  <c r="J1638" i="1"/>
  <c r="K1638" i="1"/>
  <c r="L1638" i="1"/>
  <c r="M1638" i="1"/>
  <c r="N1638" i="1"/>
  <c r="O1638" i="1"/>
  <c r="P1638" i="1"/>
  <c r="Q1638" i="1"/>
  <c r="R1638" i="1"/>
  <c r="S1638" i="1"/>
  <c r="T1638" i="1"/>
  <c r="U1638" i="1"/>
  <c r="A1639" i="1"/>
  <c r="B1639" i="1"/>
  <c r="C1639" i="1"/>
  <c r="D1639" i="1"/>
  <c r="E1639" i="1"/>
  <c r="F1639" i="1"/>
  <c r="G1639" i="1"/>
  <c r="H1639" i="1"/>
  <c r="I1639" i="1"/>
  <c r="J1639" i="1"/>
  <c r="K1639" i="1"/>
  <c r="L1639" i="1"/>
  <c r="M1639" i="1"/>
  <c r="N1639" i="1"/>
  <c r="O1639" i="1"/>
  <c r="P1639" i="1"/>
  <c r="Q1639" i="1"/>
  <c r="R1639" i="1"/>
  <c r="S1639" i="1"/>
  <c r="T1639" i="1"/>
  <c r="U1639" i="1"/>
  <c r="A1640" i="1"/>
  <c r="B1640" i="1"/>
  <c r="C1640" i="1"/>
  <c r="D1640" i="1"/>
  <c r="E1640" i="1"/>
  <c r="F1640" i="1"/>
  <c r="G1640" i="1"/>
  <c r="H1640" i="1"/>
  <c r="I1640" i="1"/>
  <c r="J1640" i="1"/>
  <c r="K1640" i="1"/>
  <c r="L1640" i="1"/>
  <c r="M1640" i="1"/>
  <c r="N1640" i="1"/>
  <c r="O1640" i="1"/>
  <c r="P1640" i="1"/>
  <c r="Q1640" i="1"/>
  <c r="R1640" i="1"/>
  <c r="S1640" i="1"/>
  <c r="U1640" i="1"/>
  <c r="A1641" i="1"/>
  <c r="B1641" i="1"/>
  <c r="C1641" i="1"/>
  <c r="D1641" i="1"/>
  <c r="E1641" i="1"/>
  <c r="F1641" i="1"/>
  <c r="G1641" i="1"/>
  <c r="H1641" i="1"/>
  <c r="I1641" i="1"/>
  <c r="J1641" i="1"/>
  <c r="K1641" i="1"/>
  <c r="L1641" i="1"/>
  <c r="M1641" i="1"/>
  <c r="N1641" i="1"/>
  <c r="O1641" i="1"/>
  <c r="P1641" i="1"/>
  <c r="Q1641" i="1"/>
  <c r="R1641" i="1"/>
  <c r="S1641" i="1"/>
  <c r="T1641" i="1"/>
  <c r="U1641" i="1"/>
  <c r="A1642" i="1"/>
  <c r="B1642" i="1"/>
  <c r="C1642" i="1"/>
  <c r="D1642" i="1"/>
  <c r="E1642" i="1"/>
  <c r="F1642" i="1"/>
  <c r="G1642" i="1"/>
  <c r="H1642" i="1"/>
  <c r="I1642" i="1"/>
  <c r="J1642" i="1"/>
  <c r="K1642" i="1"/>
  <c r="L1642" i="1"/>
  <c r="M1642" i="1"/>
  <c r="N1642" i="1"/>
  <c r="O1642" i="1"/>
  <c r="P1642" i="1"/>
  <c r="Q1642" i="1"/>
  <c r="R1642" i="1"/>
  <c r="S1642" i="1"/>
  <c r="T1642" i="1"/>
  <c r="U1642" i="1"/>
  <c r="A1559" i="1"/>
  <c r="B1559" i="1"/>
  <c r="C1559" i="1"/>
  <c r="D1559" i="1"/>
  <c r="E1559" i="1"/>
  <c r="F1559" i="1"/>
  <c r="G1559" i="1"/>
  <c r="H1559" i="1"/>
  <c r="I1559" i="1"/>
  <c r="J1559" i="1"/>
  <c r="K1559" i="1"/>
  <c r="L1559" i="1"/>
  <c r="M1559" i="1"/>
  <c r="N1559" i="1"/>
  <c r="O1559" i="1"/>
  <c r="P1559" i="1"/>
  <c r="Q1559" i="1"/>
  <c r="R1559" i="1"/>
  <c r="S1559" i="1"/>
  <c r="T1559" i="1"/>
  <c r="U1559" i="1"/>
  <c r="A1558" i="1"/>
  <c r="B1558" i="1"/>
  <c r="C1558" i="1"/>
  <c r="D1558" i="1"/>
  <c r="E1558" i="1"/>
  <c r="F1558" i="1"/>
  <c r="G1558" i="1"/>
  <c r="H1558" i="1"/>
  <c r="I1558" i="1"/>
  <c r="J1558" i="1"/>
  <c r="K1558" i="1"/>
  <c r="L1558" i="1"/>
  <c r="M1558" i="1"/>
  <c r="N1558" i="1"/>
  <c r="O1558" i="1"/>
  <c r="Q1558" i="1"/>
  <c r="R1558" i="1"/>
  <c r="S1558" i="1"/>
  <c r="T1558" i="1"/>
  <c r="U1558" i="1"/>
  <c r="A1560" i="1"/>
  <c r="B1560" i="1"/>
  <c r="C1560" i="1"/>
  <c r="D1560" i="1"/>
  <c r="E1560" i="1"/>
  <c r="F1560" i="1"/>
  <c r="G1560" i="1"/>
  <c r="H1560" i="1"/>
  <c r="I1560" i="1"/>
  <c r="J1560" i="1"/>
  <c r="K1560" i="1"/>
  <c r="L1560" i="1"/>
  <c r="M1560" i="1"/>
  <c r="N1560" i="1"/>
  <c r="O1560" i="1"/>
  <c r="P1560" i="1"/>
  <c r="Q1560" i="1"/>
  <c r="R1560" i="1"/>
  <c r="S1560" i="1"/>
  <c r="T1560" i="1"/>
  <c r="U1560" i="1"/>
  <c r="A1561" i="1"/>
  <c r="B1561" i="1"/>
  <c r="C1561" i="1"/>
  <c r="D1561" i="1"/>
  <c r="E1561" i="1"/>
  <c r="F1561" i="1"/>
  <c r="G1561" i="1"/>
  <c r="H1561" i="1"/>
  <c r="I1561" i="1"/>
  <c r="J1561" i="1"/>
  <c r="K1561" i="1"/>
  <c r="L1561" i="1"/>
  <c r="M1561" i="1"/>
  <c r="N1561" i="1"/>
  <c r="O1561" i="1"/>
  <c r="P1561" i="1"/>
  <c r="Q1561" i="1"/>
  <c r="R1561" i="1"/>
  <c r="S1561" i="1"/>
  <c r="T1561" i="1"/>
  <c r="U1561" i="1"/>
  <c r="A1562" i="1"/>
  <c r="B1562" i="1"/>
  <c r="C1562" i="1"/>
  <c r="D1562" i="1"/>
  <c r="E1562" i="1"/>
  <c r="F1562" i="1"/>
  <c r="G1562" i="1"/>
  <c r="H1562" i="1"/>
  <c r="I1562" i="1"/>
  <c r="J1562" i="1"/>
  <c r="K1562" i="1"/>
  <c r="L1562" i="1"/>
  <c r="M1562" i="1"/>
  <c r="N1562" i="1"/>
  <c r="O1562" i="1"/>
  <c r="P1562" i="1"/>
  <c r="Q1562" i="1"/>
  <c r="R1562" i="1"/>
  <c r="S1562" i="1"/>
  <c r="T1562" i="1"/>
  <c r="U1562" i="1"/>
  <c r="A1563" i="1"/>
  <c r="B1563" i="1"/>
  <c r="C1563" i="1"/>
  <c r="D1563" i="1"/>
  <c r="E1563" i="1"/>
  <c r="F1563" i="1"/>
  <c r="G1563" i="1"/>
  <c r="H1563" i="1"/>
  <c r="I1563" i="1"/>
  <c r="J1563" i="1"/>
  <c r="K1563" i="1"/>
  <c r="L1563" i="1"/>
  <c r="M1563" i="1"/>
  <c r="N1563" i="1"/>
  <c r="O1563" i="1"/>
  <c r="P1563" i="1"/>
  <c r="Q1563" i="1"/>
  <c r="R1563" i="1"/>
  <c r="S1563" i="1"/>
  <c r="T1563" i="1"/>
  <c r="U1563" i="1"/>
  <c r="A1557" i="1"/>
  <c r="B1557" i="1"/>
  <c r="C1557" i="1"/>
  <c r="D1557" i="1"/>
  <c r="E1557" i="1"/>
  <c r="F1557" i="1"/>
  <c r="G1557" i="1"/>
  <c r="H1557" i="1"/>
  <c r="I1557" i="1"/>
  <c r="J1557" i="1"/>
  <c r="K1557" i="1"/>
  <c r="L1557" i="1"/>
  <c r="M1557" i="1"/>
  <c r="N1557" i="1"/>
  <c r="O1557" i="1"/>
  <c r="Q1557" i="1"/>
  <c r="R1557" i="1"/>
  <c r="S1557" i="1"/>
  <c r="T1557" i="1"/>
  <c r="U1557" i="1"/>
  <c r="A1369" i="1"/>
  <c r="B1369" i="1"/>
  <c r="C1369" i="1"/>
  <c r="D1369" i="1"/>
  <c r="E1369" i="1"/>
  <c r="F1369" i="1"/>
  <c r="G1369" i="1"/>
  <c r="H1369" i="1"/>
  <c r="I1369" i="1"/>
  <c r="J1369" i="1"/>
  <c r="K1369" i="1"/>
  <c r="M1369" i="1"/>
  <c r="N1369" i="1"/>
  <c r="O1369" i="1"/>
  <c r="P1369" i="1"/>
  <c r="Q1369" i="1"/>
  <c r="R1369" i="1"/>
  <c r="S1369" i="1"/>
  <c r="T1369" i="1"/>
  <c r="U1369" i="1"/>
  <c r="A1370" i="1"/>
  <c r="B1370" i="1"/>
  <c r="C1370" i="1"/>
  <c r="D1370" i="1"/>
  <c r="E1370" i="1"/>
  <c r="F1370" i="1"/>
  <c r="G1370" i="1"/>
  <c r="H1370" i="1"/>
  <c r="I1370" i="1"/>
  <c r="J1370" i="1"/>
  <c r="K1370" i="1"/>
  <c r="M1370" i="1"/>
  <c r="N1370" i="1"/>
  <c r="O1370" i="1"/>
  <c r="P1370" i="1"/>
  <c r="Q1370" i="1"/>
  <c r="R1370" i="1"/>
  <c r="S1370" i="1"/>
  <c r="T1370" i="1"/>
  <c r="U1370" i="1"/>
  <c r="A1300" i="1"/>
  <c r="B1300" i="1"/>
  <c r="C1300" i="1"/>
  <c r="D1300" i="1"/>
  <c r="E1300" i="1"/>
  <c r="F1300" i="1"/>
  <c r="G1300" i="1"/>
  <c r="H1300" i="1"/>
  <c r="I1300" i="1"/>
  <c r="J1300" i="1"/>
  <c r="K1300" i="1"/>
  <c r="L1300" i="1"/>
  <c r="M1300" i="1"/>
  <c r="N1300" i="1"/>
  <c r="O1300" i="1"/>
  <c r="P1300" i="1"/>
  <c r="Q1300" i="1"/>
  <c r="R1300" i="1"/>
  <c r="S1300" i="1"/>
  <c r="T1300" i="1"/>
  <c r="U1300" i="1"/>
  <c r="A1299" i="1"/>
  <c r="B1299" i="1"/>
  <c r="C1299" i="1"/>
  <c r="D1299" i="1"/>
  <c r="E1299" i="1"/>
  <c r="F1299" i="1"/>
  <c r="G1299" i="1"/>
  <c r="H1299" i="1"/>
  <c r="I1299" i="1"/>
  <c r="J1299" i="1"/>
  <c r="K1299" i="1"/>
  <c r="L1299" i="1"/>
  <c r="M1299" i="1"/>
  <c r="N1299" i="1"/>
  <c r="O1299" i="1"/>
  <c r="Q1299" i="1"/>
  <c r="R1299" i="1"/>
  <c r="S1299" i="1"/>
  <c r="T1299" i="1"/>
  <c r="U1299" i="1"/>
  <c r="A1301" i="1"/>
  <c r="B1301" i="1"/>
  <c r="C1301" i="1"/>
  <c r="D1301" i="1"/>
  <c r="E1301" i="1"/>
  <c r="F1301" i="1"/>
  <c r="G1301" i="1"/>
  <c r="H1301" i="1"/>
  <c r="I1301" i="1"/>
  <c r="J1301" i="1"/>
  <c r="K1301" i="1"/>
  <c r="L1301" i="1"/>
  <c r="M1301" i="1"/>
  <c r="N1301" i="1"/>
  <c r="O1301" i="1"/>
  <c r="P1301" i="1"/>
  <c r="Q1301" i="1"/>
  <c r="R1301" i="1"/>
  <c r="S1301" i="1"/>
  <c r="T1301" i="1"/>
  <c r="U1301" i="1"/>
  <c r="A1228" i="1"/>
  <c r="B1228" i="1"/>
  <c r="C1228" i="1"/>
  <c r="D1228" i="1"/>
  <c r="E1228" i="1"/>
  <c r="F1228" i="1"/>
  <c r="G1228" i="1"/>
  <c r="H1228" i="1"/>
  <c r="I1228" i="1"/>
  <c r="J1228" i="1"/>
  <c r="K1228" i="1"/>
  <c r="L1228" i="1"/>
  <c r="M1228" i="1"/>
  <c r="N1228" i="1"/>
  <c r="O1228" i="1"/>
  <c r="P1228" i="1"/>
  <c r="Q1228" i="1"/>
  <c r="R1228" i="1"/>
  <c r="S1228" i="1"/>
  <c r="U1228" i="1"/>
  <c r="A1167" i="1"/>
  <c r="B1167" i="1"/>
  <c r="C1167" i="1"/>
  <c r="D1167" i="1"/>
  <c r="E1167" i="1"/>
  <c r="F1167" i="1"/>
  <c r="G1167" i="1"/>
  <c r="H1167" i="1"/>
  <c r="I1167" i="1"/>
  <c r="J1167" i="1"/>
  <c r="K1167" i="1"/>
  <c r="L1167" i="1"/>
  <c r="M1167" i="1"/>
  <c r="N1167" i="1"/>
  <c r="O1167" i="1"/>
  <c r="Q1167" i="1"/>
  <c r="R1167" i="1"/>
  <c r="S1167" i="1"/>
  <c r="T1167" i="1"/>
  <c r="U1167" i="1"/>
  <c r="A1132" i="1"/>
  <c r="B1132" i="1"/>
  <c r="C1132" i="1"/>
  <c r="D1132" i="1"/>
  <c r="E1132" i="1"/>
  <c r="F1132" i="1"/>
  <c r="G1132" i="1"/>
  <c r="H1132" i="1"/>
  <c r="I1132" i="1"/>
  <c r="J1132" i="1"/>
  <c r="K1132" i="1"/>
  <c r="L1132" i="1"/>
  <c r="M1132" i="1"/>
  <c r="N1132" i="1"/>
  <c r="O1132" i="1"/>
  <c r="Q1132" i="1"/>
  <c r="R1132" i="1"/>
  <c r="S1132" i="1"/>
  <c r="T1132" i="1"/>
  <c r="U1132" i="1"/>
  <c r="A1131" i="1"/>
  <c r="B1131" i="1"/>
  <c r="C1131" i="1"/>
  <c r="D1131" i="1"/>
  <c r="E1131" i="1"/>
  <c r="F1131" i="1"/>
  <c r="G1131" i="1"/>
  <c r="H1131" i="1"/>
  <c r="I1131" i="1"/>
  <c r="J1131" i="1"/>
  <c r="K1131" i="1"/>
  <c r="L1131" i="1"/>
  <c r="M1131" i="1"/>
  <c r="N1131" i="1"/>
  <c r="O1131" i="1"/>
  <c r="Q1131" i="1"/>
  <c r="R1131" i="1"/>
  <c r="S1131" i="1"/>
  <c r="T1131" i="1"/>
  <c r="U1131" i="1"/>
  <c r="A904" i="1"/>
  <c r="B904" i="1"/>
  <c r="C904" i="1"/>
  <c r="D904" i="1"/>
  <c r="E904" i="1"/>
  <c r="F904" i="1"/>
  <c r="G904" i="1"/>
  <c r="H904" i="1"/>
  <c r="I904" i="1"/>
  <c r="J904" i="1"/>
  <c r="K904" i="1"/>
  <c r="L904" i="1"/>
  <c r="M904" i="1"/>
  <c r="N904" i="1"/>
  <c r="O904" i="1"/>
  <c r="P904" i="1"/>
  <c r="Q904" i="1"/>
  <c r="R904" i="1"/>
  <c r="S904" i="1"/>
  <c r="U904" i="1"/>
  <c r="A840" i="1"/>
  <c r="B840" i="1"/>
  <c r="C840" i="1"/>
  <c r="D840" i="1"/>
  <c r="E840" i="1"/>
  <c r="F840" i="1"/>
  <c r="G840" i="1"/>
  <c r="H840" i="1"/>
  <c r="I840" i="1"/>
  <c r="J840" i="1"/>
  <c r="K840" i="1"/>
  <c r="L840" i="1"/>
  <c r="M840" i="1"/>
  <c r="N840" i="1"/>
  <c r="O840" i="1"/>
  <c r="P840" i="1"/>
  <c r="Q840" i="1"/>
  <c r="R840" i="1"/>
  <c r="S840" i="1"/>
  <c r="T840" i="1"/>
  <c r="U840" i="1"/>
  <c r="A841" i="1"/>
  <c r="B841" i="1"/>
  <c r="C841" i="1"/>
  <c r="D841" i="1"/>
  <c r="E841" i="1"/>
  <c r="F841" i="1"/>
  <c r="G841" i="1"/>
  <c r="H841" i="1"/>
  <c r="I841" i="1"/>
  <c r="J841" i="1"/>
  <c r="K841" i="1"/>
  <c r="L841" i="1"/>
  <c r="M841" i="1"/>
  <c r="N841" i="1"/>
  <c r="O841" i="1"/>
  <c r="P841" i="1"/>
  <c r="Q841" i="1"/>
  <c r="R841" i="1"/>
  <c r="S841" i="1"/>
  <c r="T841" i="1"/>
  <c r="U841" i="1"/>
  <c r="A842" i="1"/>
  <c r="B842" i="1"/>
  <c r="C842" i="1"/>
  <c r="D842" i="1"/>
  <c r="E842" i="1"/>
  <c r="F842" i="1"/>
  <c r="G842" i="1"/>
  <c r="H842" i="1"/>
  <c r="I842" i="1"/>
  <c r="J842" i="1"/>
  <c r="K842" i="1"/>
  <c r="L842" i="1"/>
  <c r="M842" i="1"/>
  <c r="N842" i="1"/>
  <c r="O842" i="1"/>
  <c r="P842" i="1"/>
  <c r="Q842" i="1"/>
  <c r="R842" i="1"/>
  <c r="S842" i="1"/>
  <c r="T842" i="1"/>
  <c r="U842" i="1"/>
  <c r="A839" i="1"/>
  <c r="B839" i="1"/>
  <c r="C839" i="1"/>
  <c r="D839" i="1"/>
  <c r="E839" i="1"/>
  <c r="F839" i="1"/>
  <c r="G839" i="1"/>
  <c r="H839" i="1"/>
  <c r="I839" i="1"/>
  <c r="J839" i="1"/>
  <c r="K839" i="1"/>
  <c r="L839" i="1"/>
  <c r="M839" i="1"/>
  <c r="N839" i="1"/>
  <c r="O839" i="1"/>
  <c r="Q839" i="1"/>
  <c r="R839" i="1"/>
  <c r="S839" i="1"/>
  <c r="T839" i="1"/>
  <c r="U839" i="1"/>
  <c r="A782" i="1"/>
  <c r="B782" i="1"/>
  <c r="C782" i="1"/>
  <c r="D782" i="1"/>
  <c r="E782" i="1"/>
  <c r="F782" i="1"/>
  <c r="G782" i="1"/>
  <c r="H782" i="1"/>
  <c r="I782" i="1"/>
  <c r="J782" i="1"/>
  <c r="K782" i="1"/>
  <c r="L782" i="1"/>
  <c r="M782" i="1"/>
  <c r="N782" i="1"/>
  <c r="O782" i="1"/>
  <c r="P782" i="1"/>
  <c r="Q782" i="1"/>
  <c r="R782" i="1"/>
  <c r="S782" i="1"/>
  <c r="U782" i="1"/>
  <c r="A783" i="1"/>
  <c r="B783" i="1"/>
  <c r="C783" i="1"/>
  <c r="D783" i="1"/>
  <c r="E783" i="1"/>
  <c r="F783" i="1"/>
  <c r="G783" i="1"/>
  <c r="H783" i="1"/>
  <c r="I783" i="1"/>
  <c r="J783" i="1"/>
  <c r="K783" i="1"/>
  <c r="L783" i="1"/>
  <c r="M783" i="1"/>
  <c r="N783" i="1"/>
  <c r="O783" i="1"/>
  <c r="P783" i="1"/>
  <c r="Q783" i="1"/>
  <c r="R783" i="1"/>
  <c r="S783" i="1"/>
  <c r="T783" i="1"/>
  <c r="U783" i="1"/>
  <c r="A740" i="1"/>
  <c r="B740" i="1"/>
  <c r="C740" i="1"/>
  <c r="D740" i="1"/>
  <c r="E740" i="1"/>
  <c r="F740" i="1"/>
  <c r="G740" i="1"/>
  <c r="H740" i="1"/>
  <c r="I740" i="1"/>
  <c r="J740" i="1"/>
  <c r="K740" i="1"/>
  <c r="L740" i="1"/>
  <c r="M740" i="1"/>
  <c r="N740" i="1"/>
  <c r="O740" i="1"/>
  <c r="P740" i="1"/>
  <c r="Q740" i="1"/>
  <c r="R740" i="1"/>
  <c r="S740" i="1"/>
  <c r="T740" i="1"/>
  <c r="U740" i="1"/>
  <c r="A739" i="1"/>
  <c r="B739" i="1"/>
  <c r="C739" i="1"/>
  <c r="D739" i="1"/>
  <c r="E739" i="1"/>
  <c r="F739" i="1"/>
  <c r="G739" i="1"/>
  <c r="H739" i="1"/>
  <c r="I739" i="1"/>
  <c r="J739" i="1"/>
  <c r="K739" i="1"/>
  <c r="L739" i="1"/>
  <c r="M739" i="1"/>
  <c r="N739" i="1"/>
  <c r="O739" i="1"/>
  <c r="Q739" i="1"/>
  <c r="R739" i="1"/>
  <c r="S739" i="1"/>
  <c r="T739" i="1"/>
  <c r="U739" i="1"/>
  <c r="A737" i="1"/>
  <c r="B737" i="1"/>
  <c r="C737" i="1"/>
  <c r="D737" i="1"/>
  <c r="E737" i="1"/>
  <c r="F737" i="1"/>
  <c r="G737" i="1"/>
  <c r="H737" i="1"/>
  <c r="I737" i="1"/>
  <c r="J737" i="1"/>
  <c r="K737" i="1"/>
  <c r="L737" i="1"/>
  <c r="M737" i="1"/>
  <c r="N737" i="1"/>
  <c r="O737" i="1"/>
  <c r="P737" i="1"/>
  <c r="Q737" i="1"/>
  <c r="R737" i="1"/>
  <c r="S737" i="1"/>
  <c r="T737" i="1"/>
  <c r="U737" i="1"/>
  <c r="A738" i="1"/>
  <c r="B738" i="1"/>
  <c r="C738" i="1"/>
  <c r="D738" i="1"/>
  <c r="E738" i="1"/>
  <c r="F738" i="1"/>
  <c r="G738" i="1"/>
  <c r="H738" i="1"/>
  <c r="I738" i="1"/>
  <c r="J738" i="1"/>
  <c r="K738" i="1"/>
  <c r="L738" i="1"/>
  <c r="M738" i="1"/>
  <c r="N738" i="1"/>
  <c r="O738" i="1"/>
  <c r="P738" i="1"/>
  <c r="Q738" i="1"/>
  <c r="R738" i="1"/>
  <c r="S738" i="1"/>
  <c r="T738" i="1"/>
  <c r="U738" i="1"/>
  <c r="A736" i="1"/>
  <c r="B736" i="1"/>
  <c r="C736" i="1"/>
  <c r="D736" i="1"/>
  <c r="E736" i="1"/>
  <c r="F736" i="1"/>
  <c r="G736" i="1"/>
  <c r="H736" i="1"/>
  <c r="I736" i="1"/>
  <c r="J736" i="1"/>
  <c r="K736" i="1"/>
  <c r="L736" i="1"/>
  <c r="M736" i="1"/>
  <c r="N736" i="1"/>
  <c r="O736" i="1"/>
  <c r="Q736" i="1"/>
  <c r="R736" i="1"/>
  <c r="S736" i="1"/>
  <c r="T736" i="1"/>
  <c r="U736" i="1"/>
  <c r="A685" i="1"/>
  <c r="B685" i="1"/>
  <c r="C685" i="1"/>
  <c r="D685" i="1"/>
  <c r="E685" i="1"/>
  <c r="F685" i="1"/>
  <c r="G685" i="1"/>
  <c r="H685" i="1"/>
  <c r="I685" i="1"/>
  <c r="J685" i="1"/>
  <c r="K685" i="1"/>
  <c r="L685" i="1"/>
  <c r="M685" i="1"/>
  <c r="N685" i="1"/>
  <c r="O685" i="1"/>
  <c r="P685" i="1"/>
  <c r="Q685" i="1"/>
  <c r="R685" i="1"/>
  <c r="S685" i="1"/>
  <c r="T685" i="1"/>
  <c r="U685" i="1"/>
  <c r="A563" i="1"/>
  <c r="B563" i="1"/>
  <c r="C563" i="1"/>
  <c r="D563" i="1"/>
  <c r="E563" i="1"/>
  <c r="F563" i="1"/>
  <c r="G563" i="1"/>
  <c r="H563" i="1"/>
  <c r="I563" i="1"/>
  <c r="J563" i="1"/>
  <c r="K563" i="1"/>
  <c r="L563" i="1"/>
  <c r="M563" i="1"/>
  <c r="N563" i="1"/>
  <c r="O563" i="1"/>
  <c r="Q563" i="1"/>
  <c r="R563" i="1"/>
  <c r="S563" i="1"/>
  <c r="T563" i="1"/>
  <c r="U563" i="1"/>
  <c r="A495" i="1"/>
  <c r="B495" i="1"/>
  <c r="C495" i="1"/>
  <c r="D495" i="1"/>
  <c r="E495" i="1"/>
  <c r="F495" i="1"/>
  <c r="G495" i="1"/>
  <c r="H495" i="1"/>
  <c r="I495" i="1"/>
  <c r="J495" i="1"/>
  <c r="K495" i="1"/>
  <c r="L495" i="1"/>
  <c r="M495" i="1"/>
  <c r="N495" i="1"/>
  <c r="O495" i="1"/>
  <c r="Q495" i="1"/>
  <c r="R495" i="1"/>
  <c r="S495" i="1"/>
  <c r="T495" i="1"/>
  <c r="U495" i="1"/>
  <c r="A496" i="1"/>
  <c r="B496" i="1"/>
  <c r="C496" i="1"/>
  <c r="D496" i="1"/>
  <c r="E496" i="1"/>
  <c r="F496" i="1"/>
  <c r="G496" i="1"/>
  <c r="H496" i="1"/>
  <c r="I496" i="1"/>
  <c r="J496" i="1"/>
  <c r="K496" i="1"/>
  <c r="L496" i="1"/>
  <c r="M496" i="1"/>
  <c r="N496" i="1"/>
  <c r="O496" i="1"/>
  <c r="P496" i="1"/>
  <c r="Q496" i="1"/>
  <c r="R496" i="1"/>
  <c r="S496" i="1"/>
  <c r="T496" i="1"/>
  <c r="U496" i="1"/>
  <c r="A497" i="1"/>
  <c r="B497" i="1"/>
  <c r="C497" i="1"/>
  <c r="D497" i="1"/>
  <c r="E497" i="1"/>
  <c r="F497" i="1"/>
  <c r="G497" i="1"/>
  <c r="H497" i="1"/>
  <c r="I497" i="1"/>
  <c r="J497" i="1"/>
  <c r="K497" i="1"/>
  <c r="M497" i="1"/>
  <c r="N497" i="1"/>
  <c r="O497" i="1"/>
  <c r="P497" i="1"/>
  <c r="Q497" i="1"/>
  <c r="R497" i="1"/>
  <c r="S497" i="1"/>
  <c r="T497" i="1"/>
  <c r="U497" i="1"/>
  <c r="A429" i="1"/>
  <c r="B429" i="1"/>
  <c r="C429" i="1"/>
  <c r="D429" i="1"/>
  <c r="E429" i="1"/>
  <c r="F429" i="1"/>
  <c r="G429" i="1"/>
  <c r="H429" i="1"/>
  <c r="I429" i="1"/>
  <c r="J429" i="1"/>
  <c r="K429" i="1"/>
  <c r="L429" i="1"/>
  <c r="M429" i="1"/>
  <c r="N429" i="1"/>
  <c r="O429" i="1"/>
  <c r="Q429" i="1"/>
  <c r="R429" i="1"/>
  <c r="S429" i="1"/>
  <c r="T429" i="1"/>
  <c r="U429" i="1"/>
  <c r="A365" i="1"/>
  <c r="B365" i="1"/>
  <c r="C365" i="1"/>
  <c r="D365" i="1"/>
  <c r="E365" i="1"/>
  <c r="F365" i="1"/>
  <c r="G365" i="1"/>
  <c r="H365" i="1"/>
  <c r="I365" i="1"/>
  <c r="J365" i="1"/>
  <c r="K365" i="1"/>
  <c r="L365" i="1"/>
  <c r="M365" i="1"/>
  <c r="N365" i="1"/>
  <c r="O365" i="1"/>
  <c r="P365" i="1"/>
  <c r="Q365" i="1"/>
  <c r="R365" i="1"/>
  <c r="S365" i="1"/>
  <c r="T365" i="1"/>
  <c r="U365" i="1"/>
  <c r="A364" i="1"/>
  <c r="B364" i="1"/>
  <c r="C364" i="1"/>
  <c r="D364" i="1"/>
  <c r="E364" i="1"/>
  <c r="F364" i="1"/>
  <c r="G364" i="1"/>
  <c r="H364" i="1"/>
  <c r="I364" i="1"/>
  <c r="J364" i="1"/>
  <c r="K364" i="1"/>
  <c r="L364" i="1"/>
  <c r="M364" i="1"/>
  <c r="N364" i="1"/>
  <c r="O364" i="1"/>
  <c r="Q364" i="1"/>
  <c r="R364" i="1"/>
  <c r="S364" i="1"/>
  <c r="T364" i="1"/>
  <c r="U364" i="1"/>
  <c r="A302" i="1"/>
  <c r="B302" i="1"/>
  <c r="C302" i="1"/>
  <c r="D302" i="1"/>
  <c r="E302" i="1"/>
  <c r="F302" i="1"/>
  <c r="G302" i="1"/>
  <c r="H302" i="1"/>
  <c r="I302" i="1"/>
  <c r="J302" i="1"/>
  <c r="K302" i="1"/>
  <c r="L302" i="1"/>
  <c r="M302" i="1"/>
  <c r="N302" i="1"/>
  <c r="O302" i="1"/>
  <c r="Q302" i="1"/>
  <c r="R302" i="1"/>
  <c r="S302" i="1"/>
  <c r="T302" i="1"/>
  <c r="U302" i="1"/>
  <c r="A303" i="1"/>
  <c r="B303" i="1"/>
  <c r="C303" i="1"/>
  <c r="D303" i="1"/>
  <c r="E303" i="1"/>
  <c r="F303" i="1"/>
  <c r="G303" i="1"/>
  <c r="H303" i="1"/>
  <c r="I303" i="1"/>
  <c r="J303" i="1"/>
  <c r="K303" i="1"/>
  <c r="L303" i="1"/>
  <c r="M303" i="1"/>
  <c r="N303" i="1"/>
  <c r="O303" i="1"/>
  <c r="Q303" i="1"/>
  <c r="R303" i="1"/>
  <c r="S303" i="1"/>
  <c r="U303" i="1"/>
  <c r="A42" i="1"/>
  <c r="B42" i="1"/>
  <c r="C42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A142" i="1"/>
  <c r="B142" i="1"/>
  <c r="C142" i="1"/>
  <c r="D142" i="1"/>
  <c r="E142" i="1"/>
  <c r="F142" i="1"/>
  <c r="G142" i="1"/>
  <c r="H142" i="1"/>
  <c r="I142" i="1"/>
  <c r="J142" i="1"/>
  <c r="K142" i="1"/>
  <c r="L142" i="1"/>
  <c r="M142" i="1"/>
  <c r="N142" i="1"/>
  <c r="O142" i="1"/>
  <c r="Q142" i="1"/>
  <c r="R142" i="1"/>
  <c r="S142" i="1"/>
  <c r="T142" i="1"/>
  <c r="U142" i="1"/>
  <c r="A1799" i="1"/>
  <c r="B1799" i="1"/>
  <c r="C1799" i="1"/>
  <c r="D1799" i="1"/>
  <c r="E1799" i="1"/>
  <c r="F1799" i="1"/>
  <c r="G1799" i="1"/>
  <c r="H1799" i="1"/>
  <c r="I1799" i="1"/>
  <c r="J1799" i="1"/>
  <c r="K1799" i="1"/>
  <c r="L1799" i="1"/>
  <c r="M1799" i="1"/>
  <c r="N1799" i="1"/>
  <c r="O1799" i="1"/>
  <c r="P1799" i="1"/>
  <c r="Q1799" i="1"/>
  <c r="R1799" i="1"/>
  <c r="S1799" i="1"/>
  <c r="T1799" i="1"/>
  <c r="U1799" i="1"/>
  <c r="A9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Q9" i="1"/>
  <c r="R9" i="1"/>
  <c r="S9" i="1"/>
  <c r="T9" i="1"/>
  <c r="U9" i="1"/>
  <c r="A363" i="1"/>
  <c r="B363" i="1"/>
  <c r="C363" i="1"/>
  <c r="D363" i="1"/>
  <c r="E363" i="1"/>
  <c r="F363" i="1"/>
  <c r="G363" i="1"/>
  <c r="H363" i="1"/>
  <c r="I363" i="1"/>
  <c r="J363" i="1"/>
  <c r="K363" i="1"/>
  <c r="L363" i="1"/>
  <c r="M363" i="1"/>
  <c r="N363" i="1"/>
  <c r="O363" i="1"/>
  <c r="P363" i="1"/>
  <c r="Q363" i="1"/>
  <c r="R363" i="1"/>
  <c r="S363" i="1"/>
  <c r="U363" i="1"/>
  <c r="A300" i="1"/>
  <c r="B300" i="1"/>
  <c r="C300" i="1"/>
  <c r="D300" i="1"/>
  <c r="E300" i="1"/>
  <c r="F300" i="1"/>
  <c r="G300" i="1"/>
  <c r="H300" i="1"/>
  <c r="I300" i="1"/>
  <c r="J300" i="1"/>
  <c r="K300" i="1"/>
  <c r="L300" i="1"/>
  <c r="M300" i="1"/>
  <c r="N300" i="1"/>
  <c r="O300" i="1"/>
  <c r="P300" i="1"/>
  <c r="Q300" i="1"/>
  <c r="R300" i="1"/>
  <c r="S300" i="1"/>
  <c r="T300" i="1"/>
  <c r="U300" i="1"/>
  <c r="A301" i="1"/>
  <c r="B301" i="1"/>
  <c r="C301" i="1"/>
  <c r="D301" i="1"/>
  <c r="E301" i="1"/>
  <c r="F301" i="1"/>
  <c r="G301" i="1"/>
  <c r="H301" i="1"/>
  <c r="I301" i="1"/>
  <c r="J301" i="1"/>
  <c r="K301" i="1"/>
  <c r="M301" i="1"/>
  <c r="N301" i="1"/>
  <c r="O301" i="1"/>
  <c r="P301" i="1"/>
  <c r="Q301" i="1"/>
  <c r="R301" i="1"/>
  <c r="S301" i="1"/>
  <c r="T301" i="1"/>
  <c r="U301" i="1"/>
  <c r="A298" i="1"/>
  <c r="B298" i="1"/>
  <c r="C298" i="1"/>
  <c r="D298" i="1"/>
  <c r="E298" i="1"/>
  <c r="F298" i="1"/>
  <c r="G298" i="1"/>
  <c r="H298" i="1"/>
  <c r="I298" i="1"/>
  <c r="J298" i="1"/>
  <c r="K298" i="1"/>
  <c r="L298" i="1"/>
  <c r="M298" i="1"/>
  <c r="N298" i="1"/>
  <c r="O298" i="1"/>
  <c r="Q298" i="1"/>
  <c r="R298" i="1"/>
  <c r="S298" i="1"/>
  <c r="T298" i="1"/>
  <c r="U298" i="1"/>
  <c r="A299" i="1"/>
  <c r="B299" i="1"/>
  <c r="C299" i="1"/>
  <c r="D299" i="1"/>
  <c r="E299" i="1"/>
  <c r="F299" i="1"/>
  <c r="G299" i="1"/>
  <c r="H299" i="1"/>
  <c r="I299" i="1"/>
  <c r="J299" i="1"/>
  <c r="K299" i="1"/>
  <c r="L299" i="1"/>
  <c r="M299" i="1"/>
  <c r="N299" i="1"/>
  <c r="O299" i="1"/>
  <c r="Q299" i="1"/>
  <c r="R299" i="1"/>
  <c r="S299" i="1"/>
  <c r="T299" i="1"/>
  <c r="U299" i="1"/>
  <c r="A219" i="1"/>
  <c r="B219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O219" i="1"/>
  <c r="Q219" i="1"/>
  <c r="R219" i="1"/>
  <c r="S219" i="1"/>
  <c r="T219" i="1"/>
  <c r="U219" i="1"/>
  <c r="A221" i="1"/>
  <c r="B221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O221" i="1"/>
  <c r="Q221" i="1"/>
  <c r="R221" i="1"/>
  <c r="S221" i="1"/>
  <c r="T221" i="1"/>
  <c r="U221" i="1"/>
  <c r="A223" i="1"/>
  <c r="B223" i="1"/>
  <c r="C223" i="1"/>
  <c r="D223" i="1"/>
  <c r="E223" i="1"/>
  <c r="F223" i="1"/>
  <c r="G223" i="1"/>
  <c r="H223" i="1"/>
  <c r="I223" i="1"/>
  <c r="J223" i="1"/>
  <c r="K223" i="1"/>
  <c r="L223" i="1"/>
  <c r="M223" i="1"/>
  <c r="N223" i="1"/>
  <c r="O223" i="1"/>
  <c r="Q223" i="1"/>
  <c r="R223" i="1"/>
  <c r="S223" i="1"/>
  <c r="T223" i="1"/>
  <c r="U223" i="1"/>
  <c r="A220" i="1"/>
  <c r="B220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O220" i="1"/>
  <c r="Q220" i="1"/>
  <c r="R220" i="1"/>
  <c r="S220" i="1"/>
  <c r="T220" i="1"/>
  <c r="U220" i="1"/>
  <c r="A222" i="1"/>
  <c r="B222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O222" i="1"/>
  <c r="Q222" i="1"/>
  <c r="R222" i="1"/>
  <c r="S222" i="1"/>
  <c r="T222" i="1"/>
  <c r="U222" i="1"/>
  <c r="A218" i="1"/>
  <c r="B218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A60" i="1"/>
  <c r="B60" i="1"/>
  <c r="C60" i="1"/>
  <c r="D60" i="1"/>
  <c r="E60" i="1"/>
  <c r="F60" i="1"/>
  <c r="G60" i="1"/>
  <c r="H60" i="1"/>
  <c r="I60" i="1"/>
  <c r="J60" i="1"/>
  <c r="K60" i="1"/>
  <c r="L60" i="1"/>
  <c r="M60" i="1"/>
  <c r="N60" i="1"/>
  <c r="O60" i="1"/>
  <c r="Q60" i="1"/>
  <c r="R60" i="1"/>
  <c r="S60" i="1"/>
  <c r="T60" i="1"/>
  <c r="U60" i="1"/>
  <c r="A61" i="1"/>
  <c r="B61" i="1"/>
  <c r="C61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A62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A1879" i="1"/>
  <c r="B1879" i="1"/>
  <c r="C1879" i="1"/>
  <c r="D1879" i="1"/>
  <c r="E1879" i="1"/>
  <c r="F1879" i="1"/>
  <c r="G1879" i="1"/>
  <c r="H1879" i="1"/>
  <c r="I1879" i="1"/>
  <c r="J1879" i="1"/>
  <c r="K1879" i="1"/>
  <c r="L1879" i="1"/>
  <c r="M1879" i="1"/>
  <c r="N1879" i="1"/>
  <c r="O1879" i="1"/>
  <c r="P1879" i="1"/>
  <c r="Q1879" i="1"/>
  <c r="R1879" i="1"/>
  <c r="S1879" i="1"/>
  <c r="T1879" i="1"/>
  <c r="U1879" i="1"/>
  <c r="A1880" i="1"/>
  <c r="B1880" i="1"/>
  <c r="C1880" i="1"/>
  <c r="D1880" i="1"/>
  <c r="E1880" i="1"/>
  <c r="F1880" i="1"/>
  <c r="G1880" i="1"/>
  <c r="H1880" i="1"/>
  <c r="I1880" i="1"/>
  <c r="J1880" i="1"/>
  <c r="K1880" i="1"/>
  <c r="L1880" i="1"/>
  <c r="M1880" i="1"/>
  <c r="N1880" i="1"/>
  <c r="O1880" i="1"/>
  <c r="P1880" i="1"/>
  <c r="Q1880" i="1"/>
  <c r="R1880" i="1"/>
  <c r="S1880" i="1"/>
  <c r="T1880" i="1"/>
  <c r="U1880" i="1"/>
  <c r="A1826" i="1"/>
  <c r="B1826" i="1"/>
  <c r="C1826" i="1"/>
  <c r="D1826" i="1"/>
  <c r="E1826" i="1"/>
  <c r="F1826" i="1"/>
  <c r="G1826" i="1"/>
  <c r="H1826" i="1"/>
  <c r="I1826" i="1"/>
  <c r="J1826" i="1"/>
  <c r="K1826" i="1"/>
  <c r="L1826" i="1"/>
  <c r="M1826" i="1"/>
  <c r="N1826" i="1"/>
  <c r="O1826" i="1"/>
  <c r="P1826" i="1"/>
  <c r="Q1826" i="1"/>
  <c r="R1826" i="1"/>
  <c r="S1826" i="1"/>
  <c r="T1826" i="1"/>
  <c r="U1826" i="1"/>
  <c r="A830" i="1"/>
  <c r="B830" i="1"/>
  <c r="C830" i="1"/>
  <c r="D830" i="1"/>
  <c r="E830" i="1"/>
  <c r="F830" i="1"/>
  <c r="G830" i="1"/>
  <c r="H830" i="1"/>
  <c r="I830" i="1"/>
  <c r="J830" i="1"/>
  <c r="K830" i="1"/>
  <c r="L830" i="1"/>
  <c r="M830" i="1"/>
  <c r="N830" i="1"/>
  <c r="O830" i="1"/>
  <c r="P830" i="1"/>
  <c r="Q830" i="1"/>
  <c r="R830" i="1"/>
  <c r="S830" i="1"/>
  <c r="T830" i="1"/>
  <c r="U830" i="1"/>
  <c r="A1881" i="1"/>
  <c r="B1881" i="1"/>
  <c r="C1881" i="1"/>
  <c r="D1881" i="1"/>
  <c r="E1881" i="1"/>
  <c r="F1881" i="1"/>
  <c r="G1881" i="1"/>
  <c r="H1881" i="1"/>
  <c r="I1881" i="1"/>
  <c r="J1881" i="1"/>
  <c r="K1881" i="1"/>
  <c r="L1881" i="1"/>
  <c r="M1881" i="1"/>
  <c r="N1881" i="1"/>
  <c r="O1881" i="1"/>
  <c r="P1881" i="1"/>
  <c r="Q1881" i="1"/>
  <c r="R1881" i="1"/>
  <c r="S1881" i="1"/>
  <c r="T1881" i="1"/>
  <c r="U1881" i="1"/>
  <c r="A1828" i="1"/>
  <c r="B1828" i="1"/>
  <c r="C1828" i="1"/>
  <c r="D1828" i="1"/>
  <c r="E1828" i="1"/>
  <c r="F1828" i="1"/>
  <c r="G1828" i="1"/>
  <c r="H1828" i="1"/>
  <c r="I1828" i="1"/>
  <c r="J1828" i="1"/>
  <c r="K1828" i="1"/>
  <c r="L1828" i="1"/>
  <c r="M1828" i="1"/>
  <c r="N1828" i="1"/>
  <c r="O1828" i="1"/>
  <c r="P1828" i="1"/>
  <c r="Q1828" i="1"/>
  <c r="R1828" i="1"/>
  <c r="S1828" i="1"/>
  <c r="U1828" i="1"/>
  <c r="A1827" i="1"/>
  <c r="B1827" i="1"/>
  <c r="C1827" i="1"/>
  <c r="D1827" i="1"/>
  <c r="E1827" i="1"/>
  <c r="F1827" i="1"/>
  <c r="G1827" i="1"/>
  <c r="H1827" i="1"/>
  <c r="I1827" i="1"/>
  <c r="J1827" i="1"/>
  <c r="K1827" i="1"/>
  <c r="L1827" i="1"/>
  <c r="M1827" i="1"/>
  <c r="N1827" i="1"/>
  <c r="O1827" i="1"/>
  <c r="P1827" i="1"/>
  <c r="Q1827" i="1"/>
  <c r="R1827" i="1"/>
  <c r="S1827" i="1"/>
  <c r="T1827" i="1"/>
  <c r="U1827" i="1"/>
  <c r="A1766" i="1"/>
  <c r="B1766" i="1"/>
  <c r="C1766" i="1"/>
  <c r="D1766" i="1"/>
  <c r="E1766" i="1"/>
  <c r="F1766" i="1"/>
  <c r="G1766" i="1"/>
  <c r="H1766" i="1"/>
  <c r="I1766" i="1"/>
  <c r="J1766" i="1"/>
  <c r="K1766" i="1"/>
  <c r="L1766" i="1"/>
  <c r="M1766" i="1"/>
  <c r="N1766" i="1"/>
  <c r="O1766" i="1"/>
  <c r="Q1766" i="1"/>
  <c r="R1766" i="1"/>
  <c r="S1766" i="1"/>
  <c r="T1766" i="1"/>
  <c r="U1766" i="1"/>
  <c r="A1767" i="1"/>
  <c r="B1767" i="1"/>
  <c r="C1767" i="1"/>
  <c r="D1767" i="1"/>
  <c r="E1767" i="1"/>
  <c r="F1767" i="1"/>
  <c r="G1767" i="1"/>
  <c r="H1767" i="1"/>
  <c r="I1767" i="1"/>
  <c r="J1767" i="1"/>
  <c r="K1767" i="1"/>
  <c r="L1767" i="1"/>
  <c r="M1767" i="1"/>
  <c r="N1767" i="1"/>
  <c r="O1767" i="1"/>
  <c r="P1767" i="1"/>
  <c r="Q1767" i="1"/>
  <c r="R1767" i="1"/>
  <c r="S1767" i="1"/>
  <c r="T1767" i="1"/>
  <c r="U1767" i="1"/>
  <c r="A1765" i="1"/>
  <c r="B1765" i="1"/>
  <c r="C1765" i="1"/>
  <c r="D1765" i="1"/>
  <c r="E1765" i="1"/>
  <c r="F1765" i="1"/>
  <c r="G1765" i="1"/>
  <c r="H1765" i="1"/>
  <c r="I1765" i="1"/>
  <c r="J1765" i="1"/>
  <c r="K1765" i="1"/>
  <c r="L1765" i="1"/>
  <c r="M1765" i="1"/>
  <c r="N1765" i="1"/>
  <c r="O1765" i="1"/>
  <c r="Q1765" i="1"/>
  <c r="R1765" i="1"/>
  <c r="S1765" i="1"/>
  <c r="T1765" i="1"/>
  <c r="U1765" i="1"/>
  <c r="A1764" i="1"/>
  <c r="B1764" i="1"/>
  <c r="C1764" i="1"/>
  <c r="D1764" i="1"/>
  <c r="E1764" i="1"/>
  <c r="F1764" i="1"/>
  <c r="G1764" i="1"/>
  <c r="H1764" i="1"/>
  <c r="I1764" i="1"/>
  <c r="J1764" i="1"/>
  <c r="K1764" i="1"/>
  <c r="L1764" i="1"/>
  <c r="M1764" i="1"/>
  <c r="N1764" i="1"/>
  <c r="O1764" i="1"/>
  <c r="Q1764" i="1"/>
  <c r="R1764" i="1"/>
  <c r="S1764" i="1"/>
  <c r="T1764" i="1"/>
  <c r="U1764" i="1"/>
  <c r="A1763" i="1"/>
  <c r="B1763" i="1"/>
  <c r="C1763" i="1"/>
  <c r="D1763" i="1"/>
  <c r="E1763" i="1"/>
  <c r="F1763" i="1"/>
  <c r="G1763" i="1"/>
  <c r="H1763" i="1"/>
  <c r="I1763" i="1"/>
  <c r="J1763" i="1"/>
  <c r="K1763" i="1"/>
  <c r="L1763" i="1"/>
  <c r="M1763" i="1"/>
  <c r="N1763" i="1"/>
  <c r="O1763" i="1"/>
  <c r="Q1763" i="1"/>
  <c r="R1763" i="1"/>
  <c r="S1763" i="1"/>
  <c r="T1763" i="1"/>
  <c r="U1763" i="1"/>
  <c r="A1703" i="1"/>
  <c r="B1703" i="1"/>
  <c r="C1703" i="1"/>
  <c r="D1703" i="1"/>
  <c r="E1703" i="1"/>
  <c r="F1703" i="1"/>
  <c r="G1703" i="1"/>
  <c r="H1703" i="1"/>
  <c r="I1703" i="1"/>
  <c r="J1703" i="1"/>
  <c r="K1703" i="1"/>
  <c r="L1703" i="1"/>
  <c r="M1703" i="1"/>
  <c r="N1703" i="1"/>
  <c r="O1703" i="1"/>
  <c r="Q1703" i="1"/>
  <c r="R1703" i="1"/>
  <c r="S1703" i="1"/>
  <c r="T1703" i="1"/>
  <c r="U1703" i="1"/>
  <c r="A1704" i="1"/>
  <c r="B1704" i="1"/>
  <c r="C1704" i="1"/>
  <c r="D1704" i="1"/>
  <c r="E1704" i="1"/>
  <c r="F1704" i="1"/>
  <c r="G1704" i="1"/>
  <c r="H1704" i="1"/>
  <c r="I1704" i="1"/>
  <c r="J1704" i="1"/>
  <c r="K1704" i="1"/>
  <c r="L1704" i="1"/>
  <c r="M1704" i="1"/>
  <c r="N1704" i="1"/>
  <c r="O1704" i="1"/>
  <c r="Q1704" i="1"/>
  <c r="R1704" i="1"/>
  <c r="S1704" i="1"/>
  <c r="T1704" i="1"/>
  <c r="U1704" i="1"/>
  <c r="A1705" i="1"/>
  <c r="B1705" i="1"/>
  <c r="C1705" i="1"/>
  <c r="D1705" i="1"/>
  <c r="E1705" i="1"/>
  <c r="F1705" i="1"/>
  <c r="G1705" i="1"/>
  <c r="H1705" i="1"/>
  <c r="I1705" i="1"/>
  <c r="J1705" i="1"/>
  <c r="K1705" i="1"/>
  <c r="L1705" i="1"/>
  <c r="M1705" i="1"/>
  <c r="N1705" i="1"/>
  <c r="O1705" i="1"/>
  <c r="Q1705" i="1"/>
  <c r="R1705" i="1"/>
  <c r="S1705" i="1"/>
  <c r="T1705" i="1"/>
  <c r="U1705" i="1"/>
  <c r="A1706" i="1"/>
  <c r="B1706" i="1"/>
  <c r="C1706" i="1"/>
  <c r="D1706" i="1"/>
  <c r="E1706" i="1"/>
  <c r="F1706" i="1"/>
  <c r="G1706" i="1"/>
  <c r="H1706" i="1"/>
  <c r="I1706" i="1"/>
  <c r="J1706" i="1"/>
  <c r="K1706" i="1"/>
  <c r="L1706" i="1"/>
  <c r="M1706" i="1"/>
  <c r="N1706" i="1"/>
  <c r="O1706" i="1"/>
  <c r="Q1706" i="1"/>
  <c r="R1706" i="1"/>
  <c r="S1706" i="1"/>
  <c r="T1706" i="1"/>
  <c r="U1706" i="1"/>
  <c r="A1496" i="1"/>
  <c r="B1496" i="1"/>
  <c r="C1496" i="1"/>
  <c r="D1496" i="1"/>
  <c r="E1496" i="1"/>
  <c r="F1496" i="1"/>
  <c r="G1496" i="1"/>
  <c r="H1496" i="1"/>
  <c r="I1496" i="1"/>
  <c r="J1496" i="1"/>
  <c r="K1496" i="1"/>
  <c r="L1496" i="1"/>
  <c r="M1496" i="1"/>
  <c r="N1496" i="1"/>
  <c r="O1496" i="1"/>
  <c r="Q1496" i="1"/>
  <c r="R1496" i="1"/>
  <c r="S1496" i="1"/>
  <c r="U1496" i="1"/>
  <c r="A1495" i="1"/>
  <c r="B1495" i="1"/>
  <c r="C1495" i="1"/>
  <c r="D1495" i="1"/>
  <c r="E1495" i="1"/>
  <c r="F1495" i="1"/>
  <c r="G1495" i="1"/>
  <c r="H1495" i="1"/>
  <c r="I1495" i="1"/>
  <c r="J1495" i="1"/>
  <c r="K1495" i="1"/>
  <c r="L1495" i="1"/>
  <c r="M1495" i="1"/>
  <c r="N1495" i="1"/>
  <c r="O1495" i="1"/>
  <c r="P1495" i="1"/>
  <c r="Q1495" i="1"/>
  <c r="R1495" i="1"/>
  <c r="S1495" i="1"/>
  <c r="T1495" i="1"/>
  <c r="U1495" i="1"/>
  <c r="A1494" i="1"/>
  <c r="B1494" i="1"/>
  <c r="C1494" i="1"/>
  <c r="D1494" i="1"/>
  <c r="E1494" i="1"/>
  <c r="F1494" i="1"/>
  <c r="G1494" i="1"/>
  <c r="H1494" i="1"/>
  <c r="I1494" i="1"/>
  <c r="J1494" i="1"/>
  <c r="K1494" i="1"/>
  <c r="L1494" i="1"/>
  <c r="M1494" i="1"/>
  <c r="N1494" i="1"/>
  <c r="O1494" i="1"/>
  <c r="P1494" i="1"/>
  <c r="Q1494" i="1"/>
  <c r="R1494" i="1"/>
  <c r="S1494" i="1"/>
  <c r="T1494" i="1"/>
  <c r="U1494" i="1"/>
  <c r="A1433" i="1"/>
  <c r="B1433" i="1"/>
  <c r="C1433" i="1"/>
  <c r="D1433" i="1"/>
  <c r="E1433" i="1"/>
  <c r="F1433" i="1"/>
  <c r="G1433" i="1"/>
  <c r="H1433" i="1"/>
  <c r="I1433" i="1"/>
  <c r="J1433" i="1"/>
  <c r="K1433" i="1"/>
  <c r="L1433" i="1"/>
  <c r="M1433" i="1"/>
  <c r="N1433" i="1"/>
  <c r="O1433" i="1"/>
  <c r="Q1433" i="1"/>
  <c r="R1433" i="1"/>
  <c r="S1433" i="1"/>
  <c r="T1433" i="1"/>
  <c r="U1433" i="1"/>
  <c r="A1431" i="1"/>
  <c r="B1431" i="1"/>
  <c r="C1431" i="1"/>
  <c r="D1431" i="1"/>
  <c r="E1431" i="1"/>
  <c r="F1431" i="1"/>
  <c r="G1431" i="1"/>
  <c r="H1431" i="1"/>
  <c r="I1431" i="1"/>
  <c r="J1431" i="1"/>
  <c r="K1431" i="1"/>
  <c r="L1431" i="1"/>
  <c r="M1431" i="1"/>
  <c r="N1431" i="1"/>
  <c r="O1431" i="1"/>
  <c r="Q1431" i="1"/>
  <c r="R1431" i="1"/>
  <c r="S1431" i="1"/>
  <c r="T1431" i="1"/>
  <c r="U1431" i="1"/>
  <c r="A1432" i="1"/>
  <c r="B1432" i="1"/>
  <c r="C1432" i="1"/>
  <c r="D1432" i="1"/>
  <c r="E1432" i="1"/>
  <c r="F1432" i="1"/>
  <c r="G1432" i="1"/>
  <c r="H1432" i="1"/>
  <c r="I1432" i="1"/>
  <c r="J1432" i="1"/>
  <c r="K1432" i="1"/>
  <c r="L1432" i="1"/>
  <c r="M1432" i="1"/>
  <c r="N1432" i="1"/>
  <c r="O1432" i="1"/>
  <c r="Q1432" i="1"/>
  <c r="R1432" i="1"/>
  <c r="S1432" i="1"/>
  <c r="T1432" i="1"/>
  <c r="U1432" i="1"/>
  <c r="A1366" i="1"/>
  <c r="B1366" i="1"/>
  <c r="C1366" i="1"/>
  <c r="D1366" i="1"/>
  <c r="E1366" i="1"/>
  <c r="F1366" i="1"/>
  <c r="G1366" i="1"/>
  <c r="H1366" i="1"/>
  <c r="I1366" i="1"/>
  <c r="J1366" i="1"/>
  <c r="K1366" i="1"/>
  <c r="L1366" i="1"/>
  <c r="M1366" i="1"/>
  <c r="N1366" i="1"/>
  <c r="O1366" i="1"/>
  <c r="Q1366" i="1"/>
  <c r="R1366" i="1"/>
  <c r="S1366" i="1"/>
  <c r="T1366" i="1"/>
  <c r="U1366" i="1"/>
  <c r="A1368" i="1"/>
  <c r="B1368" i="1"/>
  <c r="C1368" i="1"/>
  <c r="D1368" i="1"/>
  <c r="E1368" i="1"/>
  <c r="F1368" i="1"/>
  <c r="G1368" i="1"/>
  <c r="H1368" i="1"/>
  <c r="I1368" i="1"/>
  <c r="J1368" i="1"/>
  <c r="K1368" i="1"/>
  <c r="L1368" i="1"/>
  <c r="M1368" i="1"/>
  <c r="N1368" i="1"/>
  <c r="O1368" i="1"/>
  <c r="P1368" i="1"/>
  <c r="Q1368" i="1"/>
  <c r="R1368" i="1"/>
  <c r="S1368" i="1"/>
  <c r="T1368" i="1"/>
  <c r="U1368" i="1"/>
  <c r="A1367" i="1"/>
  <c r="B1367" i="1"/>
  <c r="C1367" i="1"/>
  <c r="D1367" i="1"/>
  <c r="E1367" i="1"/>
  <c r="F1367" i="1"/>
  <c r="G1367" i="1"/>
  <c r="H1367" i="1"/>
  <c r="I1367" i="1"/>
  <c r="J1367" i="1"/>
  <c r="K1367" i="1"/>
  <c r="L1367" i="1"/>
  <c r="M1367" i="1"/>
  <c r="N1367" i="1"/>
  <c r="O1367" i="1"/>
  <c r="Q1367" i="1"/>
  <c r="R1367" i="1"/>
  <c r="S1367" i="1"/>
  <c r="T1367" i="1"/>
  <c r="U1367" i="1"/>
  <c r="A1290" i="1"/>
  <c r="B1290" i="1"/>
  <c r="C1290" i="1"/>
  <c r="D1290" i="1"/>
  <c r="E1290" i="1"/>
  <c r="F1290" i="1"/>
  <c r="G1290" i="1"/>
  <c r="H1290" i="1"/>
  <c r="I1290" i="1"/>
  <c r="J1290" i="1"/>
  <c r="K1290" i="1"/>
  <c r="L1290" i="1"/>
  <c r="M1290" i="1"/>
  <c r="N1290" i="1"/>
  <c r="O1290" i="1"/>
  <c r="Q1290" i="1"/>
  <c r="R1290" i="1"/>
  <c r="S1290" i="1"/>
  <c r="T1290" i="1"/>
  <c r="U1290" i="1"/>
  <c r="A1289" i="1"/>
  <c r="B1289" i="1"/>
  <c r="C1289" i="1"/>
  <c r="D1289" i="1"/>
  <c r="E1289" i="1"/>
  <c r="F1289" i="1"/>
  <c r="G1289" i="1"/>
  <c r="H1289" i="1"/>
  <c r="I1289" i="1"/>
  <c r="J1289" i="1"/>
  <c r="K1289" i="1"/>
  <c r="M1289" i="1"/>
  <c r="N1289" i="1"/>
  <c r="O1289" i="1"/>
  <c r="P1289" i="1"/>
  <c r="Q1289" i="1"/>
  <c r="R1289" i="1"/>
  <c r="S1289" i="1"/>
  <c r="T1289" i="1"/>
  <c r="U1289" i="1"/>
  <c r="A1287" i="1"/>
  <c r="B1287" i="1"/>
  <c r="C1287" i="1"/>
  <c r="D1287" i="1"/>
  <c r="E1287" i="1"/>
  <c r="F1287" i="1"/>
  <c r="G1287" i="1"/>
  <c r="H1287" i="1"/>
  <c r="I1287" i="1"/>
  <c r="J1287" i="1"/>
  <c r="K1287" i="1"/>
  <c r="L1287" i="1"/>
  <c r="M1287" i="1"/>
  <c r="N1287" i="1"/>
  <c r="O1287" i="1"/>
  <c r="P1287" i="1"/>
  <c r="Q1287" i="1"/>
  <c r="R1287" i="1"/>
  <c r="S1287" i="1"/>
  <c r="T1287" i="1"/>
  <c r="U1287" i="1"/>
  <c r="A1288" i="1"/>
  <c r="B1288" i="1"/>
  <c r="C1288" i="1"/>
  <c r="D1288" i="1"/>
  <c r="E1288" i="1"/>
  <c r="F1288" i="1"/>
  <c r="G1288" i="1"/>
  <c r="H1288" i="1"/>
  <c r="I1288" i="1"/>
  <c r="J1288" i="1"/>
  <c r="K1288" i="1"/>
  <c r="L1288" i="1"/>
  <c r="M1288" i="1"/>
  <c r="N1288" i="1"/>
  <c r="O1288" i="1"/>
  <c r="P1288" i="1"/>
  <c r="Q1288" i="1"/>
  <c r="R1288" i="1"/>
  <c r="S1288" i="1"/>
  <c r="T1288" i="1"/>
  <c r="U1288" i="1"/>
  <c r="A1220" i="1"/>
  <c r="B1220" i="1"/>
  <c r="C1220" i="1"/>
  <c r="D1220" i="1"/>
  <c r="E1220" i="1"/>
  <c r="F1220" i="1"/>
  <c r="G1220" i="1"/>
  <c r="H1220" i="1"/>
  <c r="I1220" i="1"/>
  <c r="J1220" i="1"/>
  <c r="K1220" i="1"/>
  <c r="L1220" i="1"/>
  <c r="M1220" i="1"/>
  <c r="N1220" i="1"/>
  <c r="O1220" i="1"/>
  <c r="Q1220" i="1"/>
  <c r="R1220" i="1"/>
  <c r="S1220" i="1"/>
  <c r="T1220" i="1"/>
  <c r="U1220" i="1"/>
  <c r="A1221" i="1"/>
  <c r="B1221" i="1"/>
  <c r="C1221" i="1"/>
  <c r="D1221" i="1"/>
  <c r="E1221" i="1"/>
  <c r="F1221" i="1"/>
  <c r="G1221" i="1"/>
  <c r="H1221" i="1"/>
  <c r="I1221" i="1"/>
  <c r="J1221" i="1"/>
  <c r="K1221" i="1"/>
  <c r="L1221" i="1"/>
  <c r="M1221" i="1"/>
  <c r="N1221" i="1"/>
  <c r="O1221" i="1"/>
  <c r="Q1221" i="1"/>
  <c r="R1221" i="1"/>
  <c r="S1221" i="1"/>
  <c r="T1221" i="1"/>
  <c r="U1221" i="1"/>
  <c r="A1052" i="1"/>
  <c r="B1052" i="1"/>
  <c r="C1052" i="1"/>
  <c r="D1052" i="1"/>
  <c r="E1052" i="1"/>
  <c r="F1052" i="1"/>
  <c r="G1052" i="1"/>
  <c r="H1052" i="1"/>
  <c r="I1052" i="1"/>
  <c r="J1052" i="1"/>
  <c r="K1052" i="1"/>
  <c r="L1052" i="1"/>
  <c r="M1052" i="1"/>
  <c r="N1052" i="1"/>
  <c r="O1052" i="1"/>
  <c r="Q1052" i="1"/>
  <c r="R1052" i="1"/>
  <c r="S1052" i="1"/>
  <c r="T1052" i="1"/>
  <c r="U1052" i="1"/>
  <c r="A1050" i="1"/>
  <c r="B1050" i="1"/>
  <c r="C1050" i="1"/>
  <c r="D1050" i="1"/>
  <c r="E1050" i="1"/>
  <c r="F1050" i="1"/>
  <c r="G1050" i="1"/>
  <c r="H1050" i="1"/>
  <c r="I1050" i="1"/>
  <c r="J1050" i="1"/>
  <c r="K1050" i="1"/>
  <c r="L1050" i="1"/>
  <c r="M1050" i="1"/>
  <c r="N1050" i="1"/>
  <c r="O1050" i="1"/>
  <c r="Q1050" i="1"/>
  <c r="R1050" i="1"/>
  <c r="S1050" i="1"/>
  <c r="T1050" i="1"/>
  <c r="U1050" i="1"/>
  <c r="A1051" i="1"/>
  <c r="B1051" i="1"/>
  <c r="C1051" i="1"/>
  <c r="D1051" i="1"/>
  <c r="E1051" i="1"/>
  <c r="F1051" i="1"/>
  <c r="G1051" i="1"/>
  <c r="H1051" i="1"/>
  <c r="I1051" i="1"/>
  <c r="J1051" i="1"/>
  <c r="K1051" i="1"/>
  <c r="L1051" i="1"/>
  <c r="M1051" i="1"/>
  <c r="N1051" i="1"/>
  <c r="O1051" i="1"/>
  <c r="Q1051" i="1"/>
  <c r="R1051" i="1"/>
  <c r="S1051" i="1"/>
  <c r="T1051" i="1"/>
  <c r="U1051" i="1"/>
  <c r="A1053" i="1"/>
  <c r="B1053" i="1"/>
  <c r="C1053" i="1"/>
  <c r="D1053" i="1"/>
  <c r="E1053" i="1"/>
  <c r="F1053" i="1"/>
  <c r="G1053" i="1"/>
  <c r="H1053" i="1"/>
  <c r="I1053" i="1"/>
  <c r="J1053" i="1"/>
  <c r="K1053" i="1"/>
  <c r="L1053" i="1"/>
  <c r="M1053" i="1"/>
  <c r="N1053" i="1"/>
  <c r="O1053" i="1"/>
  <c r="P1053" i="1"/>
  <c r="Q1053" i="1"/>
  <c r="R1053" i="1"/>
  <c r="S1053" i="1"/>
  <c r="T1053" i="1"/>
  <c r="U1053" i="1"/>
  <c r="A1054" i="1"/>
  <c r="B1054" i="1"/>
  <c r="C1054" i="1"/>
  <c r="D1054" i="1"/>
  <c r="E1054" i="1"/>
  <c r="F1054" i="1"/>
  <c r="G1054" i="1"/>
  <c r="H1054" i="1"/>
  <c r="I1054" i="1"/>
  <c r="J1054" i="1"/>
  <c r="K1054" i="1"/>
  <c r="L1054" i="1"/>
  <c r="M1054" i="1"/>
  <c r="N1054" i="1"/>
  <c r="O1054" i="1"/>
  <c r="P1054" i="1"/>
  <c r="Q1054" i="1"/>
  <c r="R1054" i="1"/>
  <c r="S1054" i="1"/>
  <c r="T1054" i="1"/>
  <c r="U1054" i="1"/>
  <c r="A684" i="1"/>
  <c r="B684" i="1"/>
  <c r="C684" i="1"/>
  <c r="D684" i="1"/>
  <c r="E684" i="1"/>
  <c r="F684" i="1"/>
  <c r="G684" i="1"/>
  <c r="H684" i="1"/>
  <c r="I684" i="1"/>
  <c r="J684" i="1"/>
  <c r="K684" i="1"/>
  <c r="L684" i="1"/>
  <c r="M684" i="1"/>
  <c r="N684" i="1"/>
  <c r="O684" i="1"/>
  <c r="P684" i="1"/>
  <c r="Q684" i="1"/>
  <c r="R684" i="1"/>
  <c r="S684" i="1"/>
  <c r="T684" i="1"/>
  <c r="U684" i="1"/>
  <c r="A1219" i="1"/>
  <c r="B1219" i="1"/>
  <c r="C1219" i="1"/>
  <c r="D1219" i="1"/>
  <c r="E1219" i="1"/>
  <c r="F1219" i="1"/>
  <c r="G1219" i="1"/>
  <c r="H1219" i="1"/>
  <c r="I1219" i="1"/>
  <c r="J1219" i="1"/>
  <c r="K1219" i="1"/>
  <c r="L1219" i="1"/>
  <c r="M1219" i="1"/>
  <c r="N1219" i="1"/>
  <c r="O1219" i="1"/>
  <c r="Q1219" i="1"/>
  <c r="R1219" i="1"/>
  <c r="S1219" i="1"/>
  <c r="T1219" i="1"/>
  <c r="U1219" i="1"/>
  <c r="A1049" i="1"/>
  <c r="B1049" i="1"/>
  <c r="C1049" i="1"/>
  <c r="D1049" i="1"/>
  <c r="E1049" i="1"/>
  <c r="F1049" i="1"/>
  <c r="G1049" i="1"/>
  <c r="H1049" i="1"/>
  <c r="I1049" i="1"/>
  <c r="J1049" i="1"/>
  <c r="K1049" i="1"/>
  <c r="L1049" i="1"/>
  <c r="M1049" i="1"/>
  <c r="N1049" i="1"/>
  <c r="O1049" i="1"/>
  <c r="P1049" i="1"/>
  <c r="Q1049" i="1"/>
  <c r="R1049" i="1"/>
  <c r="S1049" i="1"/>
  <c r="T1049" i="1"/>
  <c r="U1049" i="1"/>
  <c r="A1048" i="1"/>
  <c r="B1048" i="1"/>
  <c r="C1048" i="1"/>
  <c r="D1048" i="1"/>
  <c r="E1048" i="1"/>
  <c r="F1048" i="1"/>
  <c r="G1048" i="1"/>
  <c r="H1048" i="1"/>
  <c r="I1048" i="1"/>
  <c r="J1048" i="1"/>
  <c r="K1048" i="1"/>
  <c r="L1048" i="1"/>
  <c r="M1048" i="1"/>
  <c r="N1048" i="1"/>
  <c r="O1048" i="1"/>
  <c r="Q1048" i="1"/>
  <c r="R1048" i="1"/>
  <c r="S1048" i="1"/>
  <c r="T1048" i="1"/>
  <c r="U1048" i="1"/>
  <c r="A980" i="1"/>
  <c r="B980" i="1"/>
  <c r="C980" i="1"/>
  <c r="D980" i="1"/>
  <c r="E980" i="1"/>
  <c r="F980" i="1"/>
  <c r="G980" i="1"/>
  <c r="H980" i="1"/>
  <c r="I980" i="1"/>
  <c r="J980" i="1"/>
  <c r="K980" i="1"/>
  <c r="L980" i="1"/>
  <c r="M980" i="1"/>
  <c r="N980" i="1"/>
  <c r="O980" i="1"/>
  <c r="P980" i="1"/>
  <c r="Q980" i="1"/>
  <c r="R980" i="1"/>
  <c r="S980" i="1"/>
  <c r="T980" i="1"/>
  <c r="U980" i="1"/>
  <c r="A981" i="1"/>
  <c r="B981" i="1"/>
  <c r="C981" i="1"/>
  <c r="D981" i="1"/>
  <c r="E981" i="1"/>
  <c r="F981" i="1"/>
  <c r="G981" i="1"/>
  <c r="H981" i="1"/>
  <c r="I981" i="1"/>
  <c r="J981" i="1"/>
  <c r="K981" i="1"/>
  <c r="L981" i="1"/>
  <c r="M981" i="1"/>
  <c r="N981" i="1"/>
  <c r="O981" i="1"/>
  <c r="P981" i="1"/>
  <c r="Q981" i="1"/>
  <c r="R981" i="1"/>
  <c r="S981" i="1"/>
  <c r="T981" i="1"/>
  <c r="U981" i="1"/>
  <c r="A982" i="1"/>
  <c r="B982" i="1"/>
  <c r="C982" i="1"/>
  <c r="D982" i="1"/>
  <c r="E982" i="1"/>
  <c r="F982" i="1"/>
  <c r="G982" i="1"/>
  <c r="H982" i="1"/>
  <c r="I982" i="1"/>
  <c r="J982" i="1"/>
  <c r="K982" i="1"/>
  <c r="L982" i="1"/>
  <c r="M982" i="1"/>
  <c r="N982" i="1"/>
  <c r="O982" i="1"/>
  <c r="P982" i="1"/>
  <c r="Q982" i="1"/>
  <c r="R982" i="1"/>
  <c r="S982" i="1"/>
  <c r="T982" i="1"/>
  <c r="U982" i="1"/>
  <c r="A986" i="1"/>
  <c r="B986" i="1"/>
  <c r="C986" i="1"/>
  <c r="D986" i="1"/>
  <c r="E986" i="1"/>
  <c r="F986" i="1"/>
  <c r="G986" i="1"/>
  <c r="H986" i="1"/>
  <c r="I986" i="1"/>
  <c r="J986" i="1"/>
  <c r="K986" i="1"/>
  <c r="M986" i="1"/>
  <c r="N986" i="1"/>
  <c r="O986" i="1"/>
  <c r="P986" i="1"/>
  <c r="Q986" i="1"/>
  <c r="R986" i="1"/>
  <c r="S986" i="1"/>
  <c r="T986" i="1"/>
  <c r="U986" i="1"/>
  <c r="A979" i="1"/>
  <c r="B979" i="1"/>
  <c r="C979" i="1"/>
  <c r="D979" i="1"/>
  <c r="E979" i="1"/>
  <c r="F979" i="1"/>
  <c r="G979" i="1"/>
  <c r="H979" i="1"/>
  <c r="I979" i="1"/>
  <c r="J979" i="1"/>
  <c r="K979" i="1"/>
  <c r="L979" i="1"/>
  <c r="M979" i="1"/>
  <c r="N979" i="1"/>
  <c r="O979" i="1"/>
  <c r="Q979" i="1"/>
  <c r="R979" i="1"/>
  <c r="S979" i="1"/>
  <c r="T979" i="1"/>
  <c r="U979" i="1"/>
  <c r="A983" i="1"/>
  <c r="B983" i="1"/>
  <c r="C983" i="1"/>
  <c r="D983" i="1"/>
  <c r="E983" i="1"/>
  <c r="F983" i="1"/>
  <c r="G983" i="1"/>
  <c r="H983" i="1"/>
  <c r="I983" i="1"/>
  <c r="J983" i="1"/>
  <c r="K983" i="1"/>
  <c r="L983" i="1"/>
  <c r="M983" i="1"/>
  <c r="N983" i="1"/>
  <c r="O983" i="1"/>
  <c r="P983" i="1"/>
  <c r="Q983" i="1"/>
  <c r="R983" i="1"/>
  <c r="S983" i="1"/>
  <c r="T983" i="1"/>
  <c r="U983" i="1"/>
  <c r="A984" i="1"/>
  <c r="B984" i="1"/>
  <c r="C984" i="1"/>
  <c r="D984" i="1"/>
  <c r="E984" i="1"/>
  <c r="F984" i="1"/>
  <c r="G984" i="1"/>
  <c r="H984" i="1"/>
  <c r="I984" i="1"/>
  <c r="J984" i="1"/>
  <c r="K984" i="1"/>
  <c r="L984" i="1"/>
  <c r="M984" i="1"/>
  <c r="N984" i="1"/>
  <c r="O984" i="1"/>
  <c r="P984" i="1"/>
  <c r="Q984" i="1"/>
  <c r="R984" i="1"/>
  <c r="S984" i="1"/>
  <c r="T984" i="1"/>
  <c r="U984" i="1"/>
  <c r="A977" i="1"/>
  <c r="B977" i="1"/>
  <c r="C977" i="1"/>
  <c r="D977" i="1"/>
  <c r="E977" i="1"/>
  <c r="F977" i="1"/>
  <c r="G977" i="1"/>
  <c r="H977" i="1"/>
  <c r="I977" i="1"/>
  <c r="J977" i="1"/>
  <c r="K977" i="1"/>
  <c r="L977" i="1"/>
  <c r="M977" i="1"/>
  <c r="N977" i="1"/>
  <c r="O977" i="1"/>
  <c r="Q977" i="1"/>
  <c r="R977" i="1"/>
  <c r="S977" i="1"/>
  <c r="T977" i="1"/>
  <c r="U977" i="1"/>
  <c r="A985" i="1"/>
  <c r="B985" i="1"/>
  <c r="C985" i="1"/>
  <c r="D985" i="1"/>
  <c r="E985" i="1"/>
  <c r="F985" i="1"/>
  <c r="G985" i="1"/>
  <c r="H985" i="1"/>
  <c r="I985" i="1"/>
  <c r="J985" i="1"/>
  <c r="K985" i="1"/>
  <c r="L985" i="1"/>
  <c r="M985" i="1"/>
  <c r="N985" i="1"/>
  <c r="O985" i="1"/>
  <c r="P985" i="1"/>
  <c r="Q985" i="1"/>
  <c r="R985" i="1"/>
  <c r="S985" i="1"/>
  <c r="T985" i="1"/>
  <c r="U985" i="1"/>
  <c r="A978" i="1"/>
  <c r="B978" i="1"/>
  <c r="C978" i="1"/>
  <c r="D978" i="1"/>
  <c r="E978" i="1"/>
  <c r="F978" i="1"/>
  <c r="G978" i="1"/>
  <c r="H978" i="1"/>
  <c r="I978" i="1"/>
  <c r="J978" i="1"/>
  <c r="K978" i="1"/>
  <c r="L978" i="1"/>
  <c r="M978" i="1"/>
  <c r="N978" i="1"/>
  <c r="O978" i="1"/>
  <c r="Q978" i="1"/>
  <c r="R978" i="1"/>
  <c r="S978" i="1"/>
  <c r="T978" i="1"/>
  <c r="U978" i="1"/>
  <c r="A903" i="1"/>
  <c r="B903" i="1"/>
  <c r="C903" i="1"/>
  <c r="D903" i="1"/>
  <c r="E903" i="1"/>
  <c r="F903" i="1"/>
  <c r="G903" i="1"/>
  <c r="H903" i="1"/>
  <c r="I903" i="1"/>
  <c r="J903" i="1"/>
  <c r="K903" i="1"/>
  <c r="L903" i="1"/>
  <c r="M903" i="1"/>
  <c r="N903" i="1"/>
  <c r="O903" i="1"/>
  <c r="Q903" i="1"/>
  <c r="R903" i="1"/>
  <c r="S903" i="1"/>
  <c r="T903" i="1"/>
  <c r="U903" i="1"/>
  <c r="A976" i="1"/>
  <c r="B976" i="1"/>
  <c r="C976" i="1"/>
  <c r="D976" i="1"/>
  <c r="E976" i="1"/>
  <c r="F976" i="1"/>
  <c r="G976" i="1"/>
  <c r="H976" i="1"/>
  <c r="I976" i="1"/>
  <c r="J976" i="1"/>
  <c r="K976" i="1"/>
  <c r="L976" i="1"/>
  <c r="M976" i="1"/>
  <c r="N976" i="1"/>
  <c r="O976" i="1"/>
  <c r="P976" i="1"/>
  <c r="Q976" i="1"/>
  <c r="R976" i="1"/>
  <c r="S976" i="1"/>
  <c r="T976" i="1"/>
  <c r="U976" i="1"/>
  <c r="A777" i="1"/>
  <c r="B777" i="1"/>
  <c r="C777" i="1"/>
  <c r="D777" i="1"/>
  <c r="E777" i="1"/>
  <c r="F777" i="1"/>
  <c r="G777" i="1"/>
  <c r="H777" i="1"/>
  <c r="I777" i="1"/>
  <c r="J777" i="1"/>
  <c r="K777" i="1"/>
  <c r="L777" i="1"/>
  <c r="M777" i="1"/>
  <c r="N777" i="1"/>
  <c r="O777" i="1"/>
  <c r="P777" i="1"/>
  <c r="Q777" i="1"/>
  <c r="R777" i="1"/>
  <c r="S777" i="1"/>
  <c r="T777" i="1"/>
  <c r="U777" i="1"/>
  <c r="A494" i="1"/>
  <c r="B494" i="1"/>
  <c r="C494" i="1"/>
  <c r="D494" i="1"/>
  <c r="E494" i="1"/>
  <c r="F494" i="1"/>
  <c r="G494" i="1"/>
  <c r="H494" i="1"/>
  <c r="I494" i="1"/>
  <c r="J494" i="1"/>
  <c r="K494" i="1"/>
  <c r="L494" i="1"/>
  <c r="M494" i="1"/>
  <c r="N494" i="1"/>
  <c r="O494" i="1"/>
  <c r="P494" i="1"/>
  <c r="Q494" i="1"/>
  <c r="R494" i="1"/>
  <c r="S494" i="1"/>
  <c r="U494" i="1"/>
  <c r="A776" i="1"/>
  <c r="B776" i="1"/>
  <c r="C776" i="1"/>
  <c r="D776" i="1"/>
  <c r="E776" i="1"/>
  <c r="F776" i="1"/>
  <c r="G776" i="1"/>
  <c r="H776" i="1"/>
  <c r="I776" i="1"/>
  <c r="J776" i="1"/>
  <c r="K776" i="1"/>
  <c r="M776" i="1"/>
  <c r="N776" i="1"/>
  <c r="O776" i="1"/>
  <c r="P776" i="1"/>
  <c r="Q776" i="1"/>
  <c r="R776" i="1"/>
  <c r="S776" i="1"/>
  <c r="T776" i="1"/>
  <c r="U776" i="1"/>
  <c r="A683" i="1"/>
  <c r="B683" i="1"/>
  <c r="C683" i="1"/>
  <c r="D683" i="1"/>
  <c r="E683" i="1"/>
  <c r="F683" i="1"/>
  <c r="G683" i="1"/>
  <c r="H683" i="1"/>
  <c r="I683" i="1"/>
  <c r="J683" i="1"/>
  <c r="K683" i="1"/>
  <c r="L683" i="1"/>
  <c r="M683" i="1"/>
  <c r="N683" i="1"/>
  <c r="O683" i="1"/>
  <c r="Q683" i="1"/>
  <c r="R683" i="1"/>
  <c r="S683" i="1"/>
  <c r="T683" i="1"/>
  <c r="U683" i="1"/>
  <c r="A682" i="1"/>
  <c r="B682" i="1"/>
  <c r="C682" i="1"/>
  <c r="D682" i="1"/>
  <c r="E682" i="1"/>
  <c r="F682" i="1"/>
  <c r="G682" i="1"/>
  <c r="H682" i="1"/>
  <c r="I682" i="1"/>
  <c r="J682" i="1"/>
  <c r="K682" i="1"/>
  <c r="L682" i="1"/>
  <c r="M682" i="1"/>
  <c r="N682" i="1"/>
  <c r="O682" i="1"/>
  <c r="Q682" i="1"/>
  <c r="R682" i="1"/>
  <c r="S682" i="1"/>
  <c r="T682" i="1"/>
  <c r="U682" i="1"/>
  <c r="A610" i="1"/>
  <c r="B610" i="1"/>
  <c r="C610" i="1"/>
  <c r="D610" i="1"/>
  <c r="E610" i="1"/>
  <c r="F610" i="1"/>
  <c r="G610" i="1"/>
  <c r="H610" i="1"/>
  <c r="I610" i="1"/>
  <c r="J610" i="1"/>
  <c r="K610" i="1"/>
  <c r="L610" i="1"/>
  <c r="M610" i="1"/>
  <c r="N610" i="1"/>
  <c r="O610" i="1"/>
  <c r="Q610" i="1"/>
  <c r="R610" i="1"/>
  <c r="S610" i="1"/>
  <c r="T610" i="1"/>
  <c r="U610" i="1"/>
  <c r="A611" i="1"/>
  <c r="B611" i="1"/>
  <c r="C611" i="1"/>
  <c r="D611" i="1"/>
  <c r="E611" i="1"/>
  <c r="F611" i="1"/>
  <c r="G611" i="1"/>
  <c r="H611" i="1"/>
  <c r="I611" i="1"/>
  <c r="J611" i="1"/>
  <c r="K611" i="1"/>
  <c r="L611" i="1"/>
  <c r="M611" i="1"/>
  <c r="N611" i="1"/>
  <c r="O611" i="1"/>
  <c r="P611" i="1"/>
  <c r="Q611" i="1"/>
  <c r="R611" i="1"/>
  <c r="S611" i="1"/>
  <c r="T611" i="1"/>
  <c r="U611" i="1"/>
  <c r="A612" i="1"/>
  <c r="B612" i="1"/>
  <c r="C612" i="1"/>
  <c r="D612" i="1"/>
  <c r="E612" i="1"/>
  <c r="F612" i="1"/>
  <c r="G612" i="1"/>
  <c r="H612" i="1"/>
  <c r="I612" i="1"/>
  <c r="J612" i="1"/>
  <c r="K612" i="1"/>
  <c r="L612" i="1"/>
  <c r="M612" i="1"/>
  <c r="N612" i="1"/>
  <c r="O612" i="1"/>
  <c r="P612" i="1"/>
  <c r="Q612" i="1"/>
  <c r="R612" i="1"/>
  <c r="S612" i="1"/>
  <c r="T612" i="1"/>
  <c r="U612" i="1"/>
  <c r="A609" i="1"/>
  <c r="B609" i="1"/>
  <c r="C609" i="1"/>
  <c r="D609" i="1"/>
  <c r="E609" i="1"/>
  <c r="F609" i="1"/>
  <c r="G609" i="1"/>
  <c r="H609" i="1"/>
  <c r="I609" i="1"/>
  <c r="J609" i="1"/>
  <c r="K609" i="1"/>
  <c r="L609" i="1"/>
  <c r="M609" i="1"/>
  <c r="N609" i="1"/>
  <c r="O609" i="1"/>
  <c r="Q609" i="1"/>
  <c r="R609" i="1"/>
  <c r="S609" i="1"/>
  <c r="U609" i="1"/>
  <c r="A838" i="1"/>
  <c r="B838" i="1"/>
  <c r="C838" i="1"/>
  <c r="D838" i="1"/>
  <c r="E838" i="1"/>
  <c r="F838" i="1"/>
  <c r="G838" i="1"/>
  <c r="H838" i="1"/>
  <c r="I838" i="1"/>
  <c r="J838" i="1"/>
  <c r="K838" i="1"/>
  <c r="L838" i="1"/>
  <c r="M838" i="1"/>
  <c r="N838" i="1"/>
  <c r="O838" i="1"/>
  <c r="P838" i="1"/>
  <c r="Q838" i="1"/>
  <c r="R838" i="1"/>
  <c r="S838" i="1"/>
  <c r="U838" i="1"/>
  <c r="A489" i="1"/>
  <c r="B489" i="1"/>
  <c r="C489" i="1"/>
  <c r="D489" i="1"/>
  <c r="E489" i="1"/>
  <c r="F489" i="1"/>
  <c r="G489" i="1"/>
  <c r="H489" i="1"/>
  <c r="I489" i="1"/>
  <c r="J489" i="1"/>
  <c r="K489" i="1"/>
  <c r="L489" i="1"/>
  <c r="M489" i="1"/>
  <c r="N489" i="1"/>
  <c r="O489" i="1"/>
  <c r="Q489" i="1"/>
  <c r="R489" i="1"/>
  <c r="S489" i="1"/>
  <c r="T489" i="1"/>
  <c r="U489" i="1"/>
  <c r="A490" i="1"/>
  <c r="B490" i="1"/>
  <c r="C490" i="1"/>
  <c r="D490" i="1"/>
  <c r="E490" i="1"/>
  <c r="F490" i="1"/>
  <c r="G490" i="1"/>
  <c r="H490" i="1"/>
  <c r="I490" i="1"/>
  <c r="J490" i="1"/>
  <c r="K490" i="1"/>
  <c r="L490" i="1"/>
  <c r="M490" i="1"/>
  <c r="N490" i="1"/>
  <c r="O490" i="1"/>
  <c r="Q490" i="1"/>
  <c r="R490" i="1"/>
  <c r="S490" i="1"/>
  <c r="T490" i="1"/>
  <c r="U490" i="1"/>
  <c r="A492" i="1"/>
  <c r="B492" i="1"/>
  <c r="C492" i="1"/>
  <c r="D492" i="1"/>
  <c r="E492" i="1"/>
  <c r="F492" i="1"/>
  <c r="G492" i="1"/>
  <c r="H492" i="1"/>
  <c r="I492" i="1"/>
  <c r="J492" i="1"/>
  <c r="K492" i="1"/>
  <c r="L492" i="1"/>
  <c r="M492" i="1"/>
  <c r="N492" i="1"/>
  <c r="O492" i="1"/>
  <c r="Q492" i="1"/>
  <c r="R492" i="1"/>
  <c r="S492" i="1"/>
  <c r="T492" i="1"/>
  <c r="U492" i="1"/>
  <c r="A491" i="1"/>
  <c r="B491" i="1"/>
  <c r="C491" i="1"/>
  <c r="D491" i="1"/>
  <c r="E491" i="1"/>
  <c r="F491" i="1"/>
  <c r="G491" i="1"/>
  <c r="H491" i="1"/>
  <c r="I491" i="1"/>
  <c r="J491" i="1"/>
  <c r="K491" i="1"/>
  <c r="L491" i="1"/>
  <c r="M491" i="1"/>
  <c r="N491" i="1"/>
  <c r="O491" i="1"/>
  <c r="Q491" i="1"/>
  <c r="R491" i="1"/>
  <c r="S491" i="1"/>
  <c r="T491" i="1"/>
  <c r="U491" i="1"/>
  <c r="A493" i="1"/>
  <c r="B493" i="1"/>
  <c r="C493" i="1"/>
  <c r="D493" i="1"/>
  <c r="E493" i="1"/>
  <c r="F493" i="1"/>
  <c r="G493" i="1"/>
  <c r="H493" i="1"/>
  <c r="I493" i="1"/>
  <c r="J493" i="1"/>
  <c r="K493" i="1"/>
  <c r="L493" i="1"/>
  <c r="M493" i="1"/>
  <c r="N493" i="1"/>
  <c r="O493" i="1"/>
  <c r="Q493" i="1"/>
  <c r="R493" i="1"/>
  <c r="S493" i="1"/>
  <c r="T493" i="1"/>
  <c r="U493" i="1"/>
  <c r="A426" i="1"/>
  <c r="B426" i="1"/>
  <c r="C426" i="1"/>
  <c r="D426" i="1"/>
  <c r="E426" i="1"/>
  <c r="F426" i="1"/>
  <c r="G426" i="1"/>
  <c r="H426" i="1"/>
  <c r="I426" i="1"/>
  <c r="J426" i="1"/>
  <c r="K426" i="1"/>
  <c r="L426" i="1"/>
  <c r="M426" i="1"/>
  <c r="N426" i="1"/>
  <c r="O426" i="1"/>
  <c r="Q426" i="1"/>
  <c r="R426" i="1"/>
  <c r="S426" i="1"/>
  <c r="T426" i="1"/>
  <c r="U426" i="1"/>
  <c r="A424" i="1"/>
  <c r="B424" i="1"/>
  <c r="C424" i="1"/>
  <c r="D424" i="1"/>
  <c r="E424" i="1"/>
  <c r="F424" i="1"/>
  <c r="G424" i="1"/>
  <c r="H424" i="1"/>
  <c r="I424" i="1"/>
  <c r="J424" i="1"/>
  <c r="K424" i="1"/>
  <c r="L424" i="1"/>
  <c r="M424" i="1"/>
  <c r="N424" i="1"/>
  <c r="O424" i="1"/>
  <c r="Q424" i="1"/>
  <c r="R424" i="1"/>
  <c r="S424" i="1"/>
  <c r="T424" i="1"/>
  <c r="U424" i="1"/>
  <c r="A425" i="1"/>
  <c r="B425" i="1"/>
  <c r="C425" i="1"/>
  <c r="D425" i="1"/>
  <c r="E425" i="1"/>
  <c r="F425" i="1"/>
  <c r="G425" i="1"/>
  <c r="H425" i="1"/>
  <c r="I425" i="1"/>
  <c r="J425" i="1"/>
  <c r="K425" i="1"/>
  <c r="L425" i="1"/>
  <c r="M425" i="1"/>
  <c r="N425" i="1"/>
  <c r="O425" i="1"/>
  <c r="P425" i="1"/>
  <c r="Q425" i="1"/>
  <c r="R425" i="1"/>
  <c r="S425" i="1"/>
  <c r="T425" i="1"/>
  <c r="U425" i="1"/>
  <c r="A420" i="1"/>
  <c r="B420" i="1"/>
  <c r="C420" i="1"/>
  <c r="D420" i="1"/>
  <c r="E420" i="1"/>
  <c r="F420" i="1"/>
  <c r="G420" i="1"/>
  <c r="H420" i="1"/>
  <c r="I420" i="1"/>
  <c r="J420" i="1"/>
  <c r="K420" i="1"/>
  <c r="L420" i="1"/>
  <c r="M420" i="1"/>
  <c r="N420" i="1"/>
  <c r="O420" i="1"/>
  <c r="Q420" i="1"/>
  <c r="R420" i="1"/>
  <c r="S420" i="1"/>
  <c r="T420" i="1"/>
  <c r="U420" i="1"/>
  <c r="A423" i="1"/>
  <c r="B423" i="1"/>
  <c r="C423" i="1"/>
  <c r="D423" i="1"/>
  <c r="E423" i="1"/>
  <c r="F423" i="1"/>
  <c r="G423" i="1"/>
  <c r="H423" i="1"/>
  <c r="I423" i="1"/>
  <c r="J423" i="1"/>
  <c r="K423" i="1"/>
  <c r="L423" i="1"/>
  <c r="M423" i="1"/>
  <c r="N423" i="1"/>
  <c r="O423" i="1"/>
  <c r="Q423" i="1"/>
  <c r="R423" i="1"/>
  <c r="S423" i="1"/>
  <c r="T423" i="1"/>
  <c r="U423" i="1"/>
  <c r="A421" i="1"/>
  <c r="B421" i="1"/>
  <c r="C421" i="1"/>
  <c r="D421" i="1"/>
  <c r="E421" i="1"/>
  <c r="F421" i="1"/>
  <c r="G421" i="1"/>
  <c r="H421" i="1"/>
  <c r="I421" i="1"/>
  <c r="J421" i="1"/>
  <c r="K421" i="1"/>
  <c r="L421" i="1"/>
  <c r="M421" i="1"/>
  <c r="N421" i="1"/>
  <c r="O421" i="1"/>
  <c r="Q421" i="1"/>
  <c r="R421" i="1"/>
  <c r="S421" i="1"/>
  <c r="T421" i="1"/>
  <c r="U421" i="1"/>
  <c r="A422" i="1"/>
  <c r="B422" i="1"/>
  <c r="C422" i="1"/>
  <c r="D422" i="1"/>
  <c r="E422" i="1"/>
  <c r="F422" i="1"/>
  <c r="G422" i="1"/>
  <c r="H422" i="1"/>
  <c r="I422" i="1"/>
  <c r="J422" i="1"/>
  <c r="K422" i="1"/>
  <c r="L422" i="1"/>
  <c r="M422" i="1"/>
  <c r="N422" i="1"/>
  <c r="O422" i="1"/>
  <c r="Q422" i="1"/>
  <c r="R422" i="1"/>
  <c r="S422" i="1"/>
  <c r="T422" i="1"/>
  <c r="U422" i="1"/>
  <c r="A354" i="1"/>
  <c r="B354" i="1"/>
  <c r="C354" i="1"/>
  <c r="D354" i="1"/>
  <c r="E354" i="1"/>
  <c r="F354" i="1"/>
  <c r="G354" i="1"/>
  <c r="H354" i="1"/>
  <c r="I354" i="1"/>
  <c r="J354" i="1"/>
  <c r="K354" i="1"/>
  <c r="L354" i="1"/>
  <c r="M354" i="1"/>
  <c r="N354" i="1"/>
  <c r="O354" i="1"/>
  <c r="P354" i="1"/>
  <c r="Q354" i="1"/>
  <c r="R354" i="1"/>
  <c r="S354" i="1"/>
  <c r="T354" i="1"/>
  <c r="U354" i="1"/>
  <c r="A347" i="1"/>
  <c r="B347" i="1"/>
  <c r="C347" i="1"/>
  <c r="D347" i="1"/>
  <c r="E347" i="1"/>
  <c r="F347" i="1"/>
  <c r="G347" i="1"/>
  <c r="H347" i="1"/>
  <c r="I347" i="1"/>
  <c r="J347" i="1"/>
  <c r="K347" i="1"/>
  <c r="L347" i="1"/>
  <c r="M347" i="1"/>
  <c r="N347" i="1"/>
  <c r="O347" i="1"/>
  <c r="Q347" i="1"/>
  <c r="R347" i="1"/>
  <c r="S347" i="1"/>
  <c r="T347" i="1"/>
  <c r="U347" i="1"/>
  <c r="A350" i="1"/>
  <c r="B350" i="1"/>
  <c r="C350" i="1"/>
  <c r="D350" i="1"/>
  <c r="E350" i="1"/>
  <c r="F350" i="1"/>
  <c r="G350" i="1"/>
  <c r="H350" i="1"/>
  <c r="I350" i="1"/>
  <c r="J350" i="1"/>
  <c r="K350" i="1"/>
  <c r="L350" i="1"/>
  <c r="M350" i="1"/>
  <c r="N350" i="1"/>
  <c r="O350" i="1"/>
  <c r="P350" i="1"/>
  <c r="Q350" i="1"/>
  <c r="R350" i="1"/>
  <c r="S350" i="1"/>
  <c r="T350" i="1"/>
  <c r="U350" i="1"/>
  <c r="A349" i="1"/>
  <c r="B349" i="1"/>
  <c r="C349" i="1"/>
  <c r="D349" i="1"/>
  <c r="E349" i="1"/>
  <c r="F349" i="1"/>
  <c r="G349" i="1"/>
  <c r="H349" i="1"/>
  <c r="I349" i="1"/>
  <c r="J349" i="1"/>
  <c r="K349" i="1"/>
  <c r="L349" i="1"/>
  <c r="M349" i="1"/>
  <c r="N349" i="1"/>
  <c r="O349" i="1"/>
  <c r="Q349" i="1"/>
  <c r="R349" i="1"/>
  <c r="S349" i="1"/>
  <c r="T349" i="1"/>
  <c r="U349" i="1"/>
  <c r="A351" i="1"/>
  <c r="B351" i="1"/>
  <c r="C351" i="1"/>
  <c r="D351" i="1"/>
  <c r="E351" i="1"/>
  <c r="F351" i="1"/>
  <c r="G351" i="1"/>
  <c r="H351" i="1"/>
  <c r="I351" i="1"/>
  <c r="J351" i="1"/>
  <c r="K351" i="1"/>
  <c r="L351" i="1"/>
  <c r="M351" i="1"/>
  <c r="N351" i="1"/>
  <c r="O351" i="1"/>
  <c r="P351" i="1"/>
  <c r="Q351" i="1"/>
  <c r="R351" i="1"/>
  <c r="S351" i="1"/>
  <c r="T351" i="1"/>
  <c r="U351" i="1"/>
  <c r="A352" i="1"/>
  <c r="B352" i="1"/>
  <c r="C352" i="1"/>
  <c r="D352" i="1"/>
  <c r="E352" i="1"/>
  <c r="F352" i="1"/>
  <c r="G352" i="1"/>
  <c r="H352" i="1"/>
  <c r="I352" i="1"/>
  <c r="J352" i="1"/>
  <c r="K352" i="1"/>
  <c r="L352" i="1"/>
  <c r="M352" i="1"/>
  <c r="N352" i="1"/>
  <c r="O352" i="1"/>
  <c r="P352" i="1"/>
  <c r="Q352" i="1"/>
  <c r="R352" i="1"/>
  <c r="S352" i="1"/>
  <c r="T352" i="1"/>
  <c r="U352" i="1"/>
  <c r="A353" i="1"/>
  <c r="B353" i="1"/>
  <c r="C353" i="1"/>
  <c r="D353" i="1"/>
  <c r="E353" i="1"/>
  <c r="F353" i="1"/>
  <c r="G353" i="1"/>
  <c r="H353" i="1"/>
  <c r="I353" i="1"/>
  <c r="J353" i="1"/>
  <c r="K353" i="1"/>
  <c r="L353" i="1"/>
  <c r="M353" i="1"/>
  <c r="N353" i="1"/>
  <c r="O353" i="1"/>
  <c r="P353" i="1"/>
  <c r="Q353" i="1"/>
  <c r="R353" i="1"/>
  <c r="S353" i="1"/>
  <c r="T353" i="1"/>
  <c r="U353" i="1"/>
  <c r="A348" i="1"/>
  <c r="B348" i="1"/>
  <c r="C348" i="1"/>
  <c r="D348" i="1"/>
  <c r="E348" i="1"/>
  <c r="F348" i="1"/>
  <c r="G348" i="1"/>
  <c r="H348" i="1"/>
  <c r="I348" i="1"/>
  <c r="J348" i="1"/>
  <c r="K348" i="1"/>
  <c r="L348" i="1"/>
  <c r="M348" i="1"/>
  <c r="N348" i="1"/>
  <c r="O348" i="1"/>
  <c r="Q348" i="1"/>
  <c r="R348" i="1"/>
  <c r="S348" i="1"/>
  <c r="T348" i="1"/>
  <c r="U348" i="1"/>
  <c r="A149" i="1"/>
  <c r="B149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R149" i="1"/>
  <c r="S149" i="1"/>
  <c r="T149" i="1"/>
  <c r="U149" i="1"/>
  <c r="A150" i="1"/>
  <c r="B150" i="1"/>
  <c r="C150" i="1"/>
  <c r="D150" i="1"/>
  <c r="E150" i="1"/>
  <c r="F150" i="1"/>
  <c r="G150" i="1"/>
  <c r="H150" i="1"/>
  <c r="I150" i="1"/>
  <c r="J150" i="1"/>
  <c r="K150" i="1"/>
  <c r="L150" i="1"/>
  <c r="M150" i="1"/>
  <c r="N150" i="1"/>
  <c r="O150" i="1"/>
  <c r="P150" i="1"/>
  <c r="Q150" i="1"/>
  <c r="R150" i="1"/>
  <c r="S150" i="1"/>
  <c r="T150" i="1"/>
  <c r="U150" i="1"/>
  <c r="A102" i="1"/>
  <c r="B102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A103" i="1"/>
  <c r="B103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A57" i="1"/>
  <c r="B57" i="1"/>
  <c r="C57" i="1"/>
  <c r="D57" i="1"/>
  <c r="E57" i="1"/>
  <c r="F57" i="1"/>
  <c r="G57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A58" i="1"/>
  <c r="B58" i="1"/>
  <c r="C58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A1911" i="1"/>
  <c r="B1911" i="1"/>
  <c r="C1911" i="1"/>
  <c r="D1911" i="1"/>
  <c r="E1911" i="1"/>
  <c r="F1911" i="1"/>
  <c r="G1911" i="1"/>
  <c r="H1911" i="1"/>
  <c r="I1911" i="1"/>
  <c r="J1911" i="1"/>
  <c r="K1911" i="1"/>
  <c r="L1911" i="1"/>
  <c r="M1911" i="1"/>
  <c r="N1911" i="1"/>
  <c r="O1911" i="1"/>
  <c r="P1911" i="1"/>
  <c r="Q1911" i="1"/>
  <c r="R1911" i="1"/>
  <c r="S1911" i="1"/>
  <c r="T1911" i="1"/>
  <c r="U1911" i="1"/>
  <c r="A1910" i="1"/>
  <c r="B1910" i="1"/>
  <c r="C1910" i="1"/>
  <c r="D1910" i="1"/>
  <c r="E1910" i="1"/>
  <c r="F1910" i="1"/>
  <c r="G1910" i="1"/>
  <c r="H1910" i="1"/>
  <c r="I1910" i="1"/>
  <c r="J1910" i="1"/>
  <c r="K1910" i="1"/>
  <c r="L1910" i="1"/>
  <c r="M1910" i="1"/>
  <c r="N1910" i="1"/>
  <c r="O1910" i="1"/>
  <c r="Q1910" i="1"/>
  <c r="R1910" i="1"/>
  <c r="S1910" i="1"/>
  <c r="T1910" i="1"/>
  <c r="U1910" i="1"/>
  <c r="A417" i="1"/>
  <c r="B417" i="1"/>
  <c r="C417" i="1"/>
  <c r="D417" i="1"/>
  <c r="E417" i="1"/>
  <c r="F417" i="1"/>
  <c r="G417" i="1"/>
  <c r="H417" i="1"/>
  <c r="I417" i="1"/>
  <c r="J417" i="1"/>
  <c r="K417" i="1"/>
  <c r="L417" i="1"/>
  <c r="M417" i="1"/>
  <c r="N417" i="1"/>
  <c r="O417" i="1"/>
  <c r="P417" i="1"/>
  <c r="Q417" i="1"/>
  <c r="R417" i="1"/>
  <c r="S417" i="1"/>
  <c r="T417" i="1"/>
  <c r="U417" i="1"/>
  <c r="A1575" i="1"/>
  <c r="B1575" i="1"/>
  <c r="C1575" i="1"/>
  <c r="D1575" i="1"/>
  <c r="E1575" i="1"/>
  <c r="F1575" i="1"/>
  <c r="G1575" i="1"/>
  <c r="H1575" i="1"/>
  <c r="I1575" i="1"/>
  <c r="J1575" i="1"/>
  <c r="K1575" i="1"/>
  <c r="L1575" i="1"/>
  <c r="M1575" i="1"/>
  <c r="N1575" i="1"/>
  <c r="O1575" i="1"/>
  <c r="P1575" i="1"/>
  <c r="Q1575" i="1"/>
  <c r="R1575" i="1"/>
  <c r="S1575" i="1"/>
  <c r="T1575" i="1"/>
  <c r="U1575" i="1"/>
  <c r="A56" i="1"/>
  <c r="B56" i="1"/>
  <c r="C56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A1912" i="1"/>
  <c r="B1912" i="1"/>
  <c r="C1912" i="1"/>
  <c r="D1912" i="1"/>
  <c r="E1912" i="1"/>
  <c r="F1912" i="1"/>
  <c r="G1912" i="1"/>
  <c r="H1912" i="1"/>
  <c r="I1912" i="1"/>
  <c r="J1912" i="1"/>
  <c r="K1912" i="1"/>
  <c r="L1912" i="1"/>
  <c r="M1912" i="1"/>
  <c r="N1912" i="1"/>
  <c r="O1912" i="1"/>
  <c r="P1912" i="1"/>
  <c r="Q1912" i="1"/>
  <c r="R1912" i="1"/>
  <c r="S1912" i="1"/>
  <c r="T1912" i="1"/>
  <c r="U1912" i="1"/>
  <c r="A1691" i="1"/>
  <c r="B1691" i="1"/>
  <c r="C1691" i="1"/>
  <c r="D1691" i="1"/>
  <c r="E1691" i="1"/>
  <c r="F1691" i="1"/>
  <c r="G1691" i="1"/>
  <c r="H1691" i="1"/>
  <c r="I1691" i="1"/>
  <c r="J1691" i="1"/>
  <c r="K1691" i="1"/>
  <c r="L1691" i="1"/>
  <c r="M1691" i="1"/>
  <c r="N1691" i="1"/>
  <c r="O1691" i="1"/>
  <c r="P1691" i="1"/>
  <c r="Q1691" i="1"/>
  <c r="R1691" i="1"/>
  <c r="S1691" i="1"/>
  <c r="T1691" i="1"/>
  <c r="U1691" i="1"/>
  <c r="A1692" i="1"/>
  <c r="B1692" i="1"/>
  <c r="C1692" i="1"/>
  <c r="D1692" i="1"/>
  <c r="E1692" i="1"/>
  <c r="F1692" i="1"/>
  <c r="G1692" i="1"/>
  <c r="H1692" i="1"/>
  <c r="I1692" i="1"/>
  <c r="J1692" i="1"/>
  <c r="K1692" i="1"/>
  <c r="L1692" i="1"/>
  <c r="M1692" i="1"/>
  <c r="N1692" i="1"/>
  <c r="O1692" i="1"/>
  <c r="P1692" i="1"/>
  <c r="Q1692" i="1"/>
  <c r="R1692" i="1"/>
  <c r="S1692" i="1"/>
  <c r="T1692" i="1"/>
  <c r="U1692" i="1"/>
  <c r="A1693" i="1"/>
  <c r="B1693" i="1"/>
  <c r="C1693" i="1"/>
  <c r="D1693" i="1"/>
  <c r="E1693" i="1"/>
  <c r="F1693" i="1"/>
  <c r="G1693" i="1"/>
  <c r="H1693" i="1"/>
  <c r="I1693" i="1"/>
  <c r="J1693" i="1"/>
  <c r="K1693" i="1"/>
  <c r="L1693" i="1"/>
  <c r="M1693" i="1"/>
  <c r="N1693" i="1"/>
  <c r="O1693" i="1"/>
  <c r="P1693" i="1"/>
  <c r="Q1693" i="1"/>
  <c r="R1693" i="1"/>
  <c r="S1693" i="1"/>
  <c r="T1693" i="1"/>
  <c r="U1693" i="1"/>
  <c r="A1626" i="1"/>
  <c r="B1626" i="1"/>
  <c r="C1626" i="1"/>
  <c r="D1626" i="1"/>
  <c r="E1626" i="1"/>
  <c r="F1626" i="1"/>
  <c r="G1626" i="1"/>
  <c r="H1626" i="1"/>
  <c r="I1626" i="1"/>
  <c r="J1626" i="1"/>
  <c r="K1626" i="1"/>
  <c r="L1626" i="1"/>
  <c r="M1626" i="1"/>
  <c r="N1626" i="1"/>
  <c r="O1626" i="1"/>
  <c r="P1626" i="1"/>
  <c r="Q1626" i="1"/>
  <c r="R1626" i="1"/>
  <c r="S1626" i="1"/>
  <c r="T1626" i="1"/>
  <c r="U1626" i="1"/>
  <c r="A1627" i="1"/>
  <c r="B1627" i="1"/>
  <c r="C1627" i="1"/>
  <c r="D1627" i="1"/>
  <c r="E1627" i="1"/>
  <c r="F1627" i="1"/>
  <c r="G1627" i="1"/>
  <c r="H1627" i="1"/>
  <c r="I1627" i="1"/>
  <c r="J1627" i="1"/>
  <c r="K1627" i="1"/>
  <c r="L1627" i="1"/>
  <c r="M1627" i="1"/>
  <c r="N1627" i="1"/>
  <c r="O1627" i="1"/>
  <c r="P1627" i="1"/>
  <c r="Q1627" i="1"/>
  <c r="R1627" i="1"/>
  <c r="S1627" i="1"/>
  <c r="T1627" i="1"/>
  <c r="U1627" i="1"/>
  <c r="A1550" i="1"/>
  <c r="B1550" i="1"/>
  <c r="C1550" i="1"/>
  <c r="D1550" i="1"/>
  <c r="E1550" i="1"/>
  <c r="F1550" i="1"/>
  <c r="G1550" i="1"/>
  <c r="H1550" i="1"/>
  <c r="I1550" i="1"/>
  <c r="J1550" i="1"/>
  <c r="K1550" i="1"/>
  <c r="L1550" i="1"/>
  <c r="M1550" i="1"/>
  <c r="N1550" i="1"/>
  <c r="O1550" i="1"/>
  <c r="P1550" i="1"/>
  <c r="Q1550" i="1"/>
  <c r="R1550" i="1"/>
  <c r="S1550" i="1"/>
  <c r="T1550" i="1"/>
  <c r="U1550" i="1"/>
  <c r="A1492" i="1"/>
  <c r="B1492" i="1"/>
  <c r="C1492" i="1"/>
  <c r="D1492" i="1"/>
  <c r="E1492" i="1"/>
  <c r="F1492" i="1"/>
  <c r="G1492" i="1"/>
  <c r="H1492" i="1"/>
  <c r="I1492" i="1"/>
  <c r="J1492" i="1"/>
  <c r="K1492" i="1"/>
  <c r="L1492" i="1"/>
  <c r="M1492" i="1"/>
  <c r="N1492" i="1"/>
  <c r="O1492" i="1"/>
  <c r="P1492" i="1"/>
  <c r="Q1492" i="1"/>
  <c r="R1492" i="1"/>
  <c r="S1492" i="1"/>
  <c r="T1492" i="1"/>
  <c r="U1492" i="1"/>
  <c r="A1428" i="1"/>
  <c r="B1428" i="1"/>
  <c r="C1428" i="1"/>
  <c r="D1428" i="1"/>
  <c r="E1428" i="1"/>
  <c r="F1428" i="1"/>
  <c r="G1428" i="1"/>
  <c r="H1428" i="1"/>
  <c r="I1428" i="1"/>
  <c r="J1428" i="1"/>
  <c r="K1428" i="1"/>
  <c r="L1428" i="1"/>
  <c r="M1428" i="1"/>
  <c r="N1428" i="1"/>
  <c r="O1428" i="1"/>
  <c r="Q1428" i="1"/>
  <c r="R1428" i="1"/>
  <c r="S1428" i="1"/>
  <c r="U1428" i="1"/>
  <c r="A1489" i="1"/>
  <c r="B1489" i="1"/>
  <c r="C1489" i="1"/>
  <c r="D1489" i="1"/>
  <c r="E1489" i="1"/>
  <c r="F1489" i="1"/>
  <c r="G1489" i="1"/>
  <c r="H1489" i="1"/>
  <c r="I1489" i="1"/>
  <c r="J1489" i="1"/>
  <c r="K1489" i="1"/>
  <c r="L1489" i="1"/>
  <c r="M1489" i="1"/>
  <c r="N1489" i="1"/>
  <c r="O1489" i="1"/>
  <c r="Q1489" i="1"/>
  <c r="R1489" i="1"/>
  <c r="S1489" i="1"/>
  <c r="T1489" i="1"/>
  <c r="U1489" i="1"/>
  <c r="A1490" i="1"/>
  <c r="B1490" i="1"/>
  <c r="C1490" i="1"/>
  <c r="D1490" i="1"/>
  <c r="E1490" i="1"/>
  <c r="F1490" i="1"/>
  <c r="G1490" i="1"/>
  <c r="H1490" i="1"/>
  <c r="I1490" i="1"/>
  <c r="J1490" i="1"/>
  <c r="K1490" i="1"/>
  <c r="L1490" i="1"/>
  <c r="M1490" i="1"/>
  <c r="N1490" i="1"/>
  <c r="O1490" i="1"/>
  <c r="Q1490" i="1"/>
  <c r="R1490" i="1"/>
  <c r="S1490" i="1"/>
  <c r="T1490" i="1"/>
  <c r="U1490" i="1"/>
  <c r="A1491" i="1"/>
  <c r="B1491" i="1"/>
  <c r="C1491" i="1"/>
  <c r="D1491" i="1"/>
  <c r="E1491" i="1"/>
  <c r="F1491" i="1"/>
  <c r="G1491" i="1"/>
  <c r="H1491" i="1"/>
  <c r="I1491" i="1"/>
  <c r="J1491" i="1"/>
  <c r="K1491" i="1"/>
  <c r="L1491" i="1"/>
  <c r="M1491" i="1"/>
  <c r="N1491" i="1"/>
  <c r="O1491" i="1"/>
  <c r="Q1491" i="1"/>
  <c r="R1491" i="1"/>
  <c r="S1491" i="1"/>
  <c r="T1491" i="1"/>
  <c r="U1491" i="1"/>
  <c r="A1427" i="1"/>
  <c r="B1427" i="1"/>
  <c r="C1427" i="1"/>
  <c r="D1427" i="1"/>
  <c r="E1427" i="1"/>
  <c r="F1427" i="1"/>
  <c r="G1427" i="1"/>
  <c r="H1427" i="1"/>
  <c r="I1427" i="1"/>
  <c r="J1427" i="1"/>
  <c r="K1427" i="1"/>
  <c r="L1427" i="1"/>
  <c r="M1427" i="1"/>
  <c r="N1427" i="1"/>
  <c r="O1427" i="1"/>
  <c r="P1427" i="1"/>
  <c r="Q1427" i="1"/>
  <c r="R1427" i="1"/>
  <c r="S1427" i="1"/>
  <c r="U1427" i="1"/>
  <c r="A1212" i="1"/>
  <c r="B1212" i="1"/>
  <c r="C1212" i="1"/>
  <c r="D1212" i="1"/>
  <c r="E1212" i="1"/>
  <c r="F1212" i="1"/>
  <c r="G1212" i="1"/>
  <c r="H1212" i="1"/>
  <c r="I1212" i="1"/>
  <c r="J1212" i="1"/>
  <c r="K1212" i="1"/>
  <c r="L1212" i="1"/>
  <c r="M1212" i="1"/>
  <c r="N1212" i="1"/>
  <c r="O1212" i="1"/>
  <c r="P1212" i="1"/>
  <c r="Q1212" i="1"/>
  <c r="R1212" i="1"/>
  <c r="S1212" i="1"/>
  <c r="T1212" i="1"/>
  <c r="U1212" i="1"/>
  <c r="A1213" i="1"/>
  <c r="B1213" i="1"/>
  <c r="C1213" i="1"/>
  <c r="D1213" i="1"/>
  <c r="E1213" i="1"/>
  <c r="F1213" i="1"/>
  <c r="G1213" i="1"/>
  <c r="H1213" i="1"/>
  <c r="I1213" i="1"/>
  <c r="J1213" i="1"/>
  <c r="K1213" i="1"/>
  <c r="M1213" i="1"/>
  <c r="N1213" i="1"/>
  <c r="O1213" i="1"/>
  <c r="P1213" i="1"/>
  <c r="Q1213" i="1"/>
  <c r="R1213" i="1"/>
  <c r="S1213" i="1"/>
  <c r="T1213" i="1"/>
  <c r="U1213" i="1"/>
  <c r="A1129" i="1"/>
  <c r="B1129" i="1"/>
  <c r="C1129" i="1"/>
  <c r="D1129" i="1"/>
  <c r="E1129" i="1"/>
  <c r="F1129" i="1"/>
  <c r="G1129" i="1"/>
  <c r="H1129" i="1"/>
  <c r="I1129" i="1"/>
  <c r="J1129" i="1"/>
  <c r="K1129" i="1"/>
  <c r="L1129" i="1"/>
  <c r="M1129" i="1"/>
  <c r="N1129" i="1"/>
  <c r="O1129" i="1"/>
  <c r="P1129" i="1"/>
  <c r="Q1129" i="1"/>
  <c r="R1129" i="1"/>
  <c r="S1129" i="1"/>
  <c r="T1129" i="1"/>
  <c r="U1129" i="1"/>
  <c r="A771" i="1"/>
  <c r="B771" i="1"/>
  <c r="C771" i="1"/>
  <c r="D771" i="1"/>
  <c r="E771" i="1"/>
  <c r="F771" i="1"/>
  <c r="G771" i="1"/>
  <c r="H771" i="1"/>
  <c r="I771" i="1"/>
  <c r="J771" i="1"/>
  <c r="K771" i="1"/>
  <c r="L771" i="1"/>
  <c r="M771" i="1"/>
  <c r="N771" i="1"/>
  <c r="O771" i="1"/>
  <c r="Q771" i="1"/>
  <c r="R771" i="1"/>
  <c r="S771" i="1"/>
  <c r="T771" i="1"/>
  <c r="U771" i="1"/>
  <c r="A681" i="1"/>
  <c r="B681" i="1"/>
  <c r="C681" i="1"/>
  <c r="D681" i="1"/>
  <c r="E681" i="1"/>
  <c r="F681" i="1"/>
  <c r="G681" i="1"/>
  <c r="H681" i="1"/>
  <c r="I681" i="1"/>
  <c r="J681" i="1"/>
  <c r="K681" i="1"/>
  <c r="L681" i="1"/>
  <c r="M681" i="1"/>
  <c r="N681" i="1"/>
  <c r="O681" i="1"/>
  <c r="Q681" i="1"/>
  <c r="R681" i="1"/>
  <c r="S681" i="1"/>
  <c r="T681" i="1"/>
  <c r="U681" i="1"/>
  <c r="A680" i="1"/>
  <c r="B680" i="1"/>
  <c r="C680" i="1"/>
  <c r="D680" i="1"/>
  <c r="E680" i="1"/>
  <c r="F680" i="1"/>
  <c r="G680" i="1"/>
  <c r="H680" i="1"/>
  <c r="I680" i="1"/>
  <c r="J680" i="1"/>
  <c r="K680" i="1"/>
  <c r="L680" i="1"/>
  <c r="M680" i="1"/>
  <c r="N680" i="1"/>
  <c r="O680" i="1"/>
  <c r="Q680" i="1"/>
  <c r="R680" i="1"/>
  <c r="S680" i="1"/>
  <c r="T680" i="1"/>
  <c r="U680" i="1"/>
  <c r="A1128" i="1"/>
  <c r="B1128" i="1"/>
  <c r="C1128" i="1"/>
  <c r="D1128" i="1"/>
  <c r="E1128" i="1"/>
  <c r="F1128" i="1"/>
  <c r="G1128" i="1"/>
  <c r="H1128" i="1"/>
  <c r="I1128" i="1"/>
  <c r="J1128" i="1"/>
  <c r="K1128" i="1"/>
  <c r="L1128" i="1"/>
  <c r="M1128" i="1"/>
  <c r="N1128" i="1"/>
  <c r="O1128" i="1"/>
  <c r="Q1128" i="1"/>
  <c r="R1128" i="1"/>
  <c r="S1128" i="1"/>
  <c r="U1128" i="1"/>
  <c r="A1164" i="1"/>
  <c r="B1164" i="1"/>
  <c r="C1164" i="1"/>
  <c r="D1164" i="1"/>
  <c r="E1164" i="1"/>
  <c r="F1164" i="1"/>
  <c r="G1164" i="1"/>
  <c r="H1164" i="1"/>
  <c r="I1164" i="1"/>
  <c r="J1164" i="1"/>
  <c r="K1164" i="1"/>
  <c r="L1164" i="1"/>
  <c r="M1164" i="1"/>
  <c r="N1164" i="1"/>
  <c r="O1164" i="1"/>
  <c r="P1164" i="1"/>
  <c r="Q1164" i="1"/>
  <c r="R1164" i="1"/>
  <c r="S1164" i="1"/>
  <c r="T1164" i="1"/>
  <c r="U1164" i="1"/>
  <c r="A100" i="1"/>
  <c r="B100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Q100" i="1"/>
  <c r="R100" i="1"/>
  <c r="S100" i="1"/>
  <c r="U100" i="1"/>
  <c r="A678" i="1"/>
  <c r="B678" i="1"/>
  <c r="C678" i="1"/>
  <c r="D678" i="1"/>
  <c r="E678" i="1"/>
  <c r="F678" i="1"/>
  <c r="G678" i="1"/>
  <c r="H678" i="1"/>
  <c r="I678" i="1"/>
  <c r="J678" i="1"/>
  <c r="K678" i="1"/>
  <c r="L678" i="1"/>
  <c r="M678" i="1"/>
  <c r="N678" i="1"/>
  <c r="O678" i="1"/>
  <c r="Q678" i="1"/>
  <c r="R678" i="1"/>
  <c r="S678" i="1"/>
  <c r="T678" i="1"/>
  <c r="U678" i="1"/>
  <c r="A679" i="1"/>
  <c r="B679" i="1"/>
  <c r="C679" i="1"/>
  <c r="D679" i="1"/>
  <c r="E679" i="1"/>
  <c r="F679" i="1"/>
  <c r="G679" i="1"/>
  <c r="H679" i="1"/>
  <c r="I679" i="1"/>
  <c r="J679" i="1"/>
  <c r="K679" i="1"/>
  <c r="L679" i="1"/>
  <c r="M679" i="1"/>
  <c r="N679" i="1"/>
  <c r="O679" i="1"/>
  <c r="P679" i="1"/>
  <c r="Q679" i="1"/>
  <c r="R679" i="1"/>
  <c r="S679" i="1"/>
  <c r="T679" i="1"/>
  <c r="U679" i="1"/>
  <c r="A677" i="1"/>
  <c r="B677" i="1"/>
  <c r="C677" i="1"/>
  <c r="D677" i="1"/>
  <c r="E677" i="1"/>
  <c r="F677" i="1"/>
  <c r="G677" i="1"/>
  <c r="H677" i="1"/>
  <c r="I677" i="1"/>
  <c r="J677" i="1"/>
  <c r="K677" i="1"/>
  <c r="L677" i="1"/>
  <c r="M677" i="1"/>
  <c r="N677" i="1"/>
  <c r="O677" i="1"/>
  <c r="P677" i="1"/>
  <c r="Q677" i="1"/>
  <c r="R677" i="1"/>
  <c r="S677" i="1"/>
  <c r="T677" i="1"/>
  <c r="U677" i="1"/>
  <c r="A676" i="1"/>
  <c r="B676" i="1"/>
  <c r="C676" i="1"/>
  <c r="D676" i="1"/>
  <c r="E676" i="1"/>
  <c r="F676" i="1"/>
  <c r="G676" i="1"/>
  <c r="H676" i="1"/>
  <c r="I676" i="1"/>
  <c r="J676" i="1"/>
  <c r="K676" i="1"/>
  <c r="L676" i="1"/>
  <c r="M676" i="1"/>
  <c r="N676" i="1"/>
  <c r="O676" i="1"/>
  <c r="Q676" i="1"/>
  <c r="R676" i="1"/>
  <c r="S676" i="1"/>
  <c r="T676" i="1"/>
  <c r="U676" i="1"/>
  <c r="A608" i="1"/>
  <c r="B608" i="1"/>
  <c r="C608" i="1"/>
  <c r="D608" i="1"/>
  <c r="E608" i="1"/>
  <c r="F608" i="1"/>
  <c r="G608" i="1"/>
  <c r="H608" i="1"/>
  <c r="I608" i="1"/>
  <c r="J608" i="1"/>
  <c r="K608" i="1"/>
  <c r="L608" i="1"/>
  <c r="M608" i="1"/>
  <c r="N608" i="1"/>
  <c r="O608" i="1"/>
  <c r="Q608" i="1"/>
  <c r="R608" i="1"/>
  <c r="S608" i="1"/>
  <c r="T608" i="1"/>
  <c r="U608" i="1"/>
  <c r="A554" i="1"/>
  <c r="B554" i="1"/>
  <c r="C554" i="1"/>
  <c r="D554" i="1"/>
  <c r="E554" i="1"/>
  <c r="F554" i="1"/>
  <c r="G554" i="1"/>
  <c r="H554" i="1"/>
  <c r="I554" i="1"/>
  <c r="J554" i="1"/>
  <c r="K554" i="1"/>
  <c r="L554" i="1"/>
  <c r="M554" i="1"/>
  <c r="N554" i="1"/>
  <c r="O554" i="1"/>
  <c r="P554" i="1"/>
  <c r="Q554" i="1"/>
  <c r="R554" i="1"/>
  <c r="S554" i="1"/>
  <c r="T554" i="1"/>
  <c r="U554" i="1"/>
  <c r="A552" i="1"/>
  <c r="B552" i="1"/>
  <c r="C552" i="1"/>
  <c r="D552" i="1"/>
  <c r="E552" i="1"/>
  <c r="F552" i="1"/>
  <c r="G552" i="1"/>
  <c r="H552" i="1"/>
  <c r="I552" i="1"/>
  <c r="J552" i="1"/>
  <c r="K552" i="1"/>
  <c r="L552" i="1"/>
  <c r="M552" i="1"/>
  <c r="N552" i="1"/>
  <c r="O552" i="1"/>
  <c r="P552" i="1"/>
  <c r="Q552" i="1"/>
  <c r="R552" i="1"/>
  <c r="S552" i="1"/>
  <c r="T552" i="1"/>
  <c r="U552" i="1"/>
  <c r="A553" i="1"/>
  <c r="B553" i="1"/>
  <c r="C553" i="1"/>
  <c r="D553" i="1"/>
  <c r="E553" i="1"/>
  <c r="F553" i="1"/>
  <c r="G553" i="1"/>
  <c r="H553" i="1"/>
  <c r="I553" i="1"/>
  <c r="J553" i="1"/>
  <c r="K553" i="1"/>
  <c r="L553" i="1"/>
  <c r="M553" i="1"/>
  <c r="N553" i="1"/>
  <c r="O553" i="1"/>
  <c r="P553" i="1"/>
  <c r="Q553" i="1"/>
  <c r="R553" i="1"/>
  <c r="S553" i="1"/>
  <c r="T553" i="1"/>
  <c r="U553" i="1"/>
  <c r="A339" i="1"/>
  <c r="B339" i="1"/>
  <c r="C339" i="1"/>
  <c r="D339" i="1"/>
  <c r="E339" i="1"/>
  <c r="F339" i="1"/>
  <c r="G339" i="1"/>
  <c r="H339" i="1"/>
  <c r="I339" i="1"/>
  <c r="J339" i="1"/>
  <c r="K339" i="1"/>
  <c r="L339" i="1"/>
  <c r="M339" i="1"/>
  <c r="N339" i="1"/>
  <c r="O339" i="1"/>
  <c r="P339" i="1"/>
  <c r="Q339" i="1"/>
  <c r="R339" i="1"/>
  <c r="S339" i="1"/>
  <c r="T339" i="1"/>
  <c r="U339" i="1"/>
  <c r="A291" i="1"/>
  <c r="B291" i="1"/>
  <c r="C291" i="1"/>
  <c r="D291" i="1"/>
  <c r="E291" i="1"/>
  <c r="F291" i="1"/>
  <c r="G291" i="1"/>
  <c r="H291" i="1"/>
  <c r="I291" i="1"/>
  <c r="J291" i="1"/>
  <c r="K291" i="1"/>
  <c r="L291" i="1"/>
  <c r="M291" i="1"/>
  <c r="N291" i="1"/>
  <c r="O291" i="1"/>
  <c r="P291" i="1"/>
  <c r="Q291" i="1"/>
  <c r="R291" i="1"/>
  <c r="S291" i="1"/>
  <c r="T291" i="1"/>
  <c r="U291" i="1"/>
  <c r="A292" i="1"/>
  <c r="B292" i="1"/>
  <c r="C292" i="1"/>
  <c r="D292" i="1"/>
  <c r="E292" i="1"/>
  <c r="F292" i="1"/>
  <c r="G292" i="1"/>
  <c r="H292" i="1"/>
  <c r="I292" i="1"/>
  <c r="J292" i="1"/>
  <c r="K292" i="1"/>
  <c r="L292" i="1"/>
  <c r="M292" i="1"/>
  <c r="N292" i="1"/>
  <c r="O292" i="1"/>
  <c r="P292" i="1"/>
  <c r="Q292" i="1"/>
  <c r="R292" i="1"/>
  <c r="S292" i="1"/>
  <c r="T292" i="1"/>
  <c r="U292" i="1"/>
  <c r="A293" i="1"/>
  <c r="B293" i="1"/>
  <c r="C293" i="1"/>
  <c r="D293" i="1"/>
  <c r="E293" i="1"/>
  <c r="F293" i="1"/>
  <c r="G293" i="1"/>
  <c r="H293" i="1"/>
  <c r="I293" i="1"/>
  <c r="J293" i="1"/>
  <c r="K293" i="1"/>
  <c r="L293" i="1"/>
  <c r="M293" i="1"/>
  <c r="N293" i="1"/>
  <c r="O293" i="1"/>
  <c r="P293" i="1"/>
  <c r="Q293" i="1"/>
  <c r="R293" i="1"/>
  <c r="S293" i="1"/>
  <c r="T293" i="1"/>
  <c r="U293" i="1"/>
  <c r="A216" i="1"/>
  <c r="B216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O216" i="1"/>
  <c r="P216" i="1"/>
  <c r="Q216" i="1"/>
  <c r="R216" i="1"/>
  <c r="S216" i="1"/>
  <c r="T216" i="1"/>
  <c r="U216" i="1"/>
  <c r="A217" i="1"/>
  <c r="B217" i="1"/>
  <c r="C217" i="1"/>
  <c r="D217" i="1"/>
  <c r="E217" i="1"/>
  <c r="F217" i="1"/>
  <c r="G217" i="1"/>
  <c r="H217" i="1"/>
  <c r="I217" i="1"/>
  <c r="J217" i="1"/>
  <c r="K217" i="1"/>
  <c r="M217" i="1"/>
  <c r="N217" i="1"/>
  <c r="O217" i="1"/>
  <c r="P217" i="1"/>
  <c r="Q217" i="1"/>
  <c r="R217" i="1"/>
  <c r="S217" i="1"/>
  <c r="T217" i="1"/>
  <c r="U217" i="1"/>
  <c r="A146" i="1"/>
  <c r="B146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O146" i="1"/>
  <c r="P146" i="1"/>
  <c r="Q146" i="1"/>
  <c r="R146" i="1"/>
  <c r="S146" i="1"/>
  <c r="T146" i="1"/>
  <c r="U146" i="1"/>
  <c r="A147" i="1"/>
  <c r="B147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O147" i="1"/>
  <c r="P147" i="1"/>
  <c r="Q147" i="1"/>
  <c r="R147" i="1"/>
  <c r="S147" i="1"/>
  <c r="T147" i="1"/>
  <c r="U147" i="1"/>
  <c r="A148" i="1"/>
  <c r="B148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O148" i="1"/>
  <c r="P148" i="1"/>
  <c r="Q148" i="1"/>
  <c r="R148" i="1"/>
  <c r="S148" i="1"/>
  <c r="T148" i="1"/>
  <c r="U148" i="1"/>
  <c r="A96" i="1"/>
  <c r="B96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A97" i="1"/>
  <c r="B97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A98" i="1"/>
  <c r="B98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A99" i="1"/>
  <c r="B99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A95" i="1"/>
  <c r="B95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A1869" i="1"/>
  <c r="B1869" i="1"/>
  <c r="C1869" i="1"/>
  <c r="D1869" i="1"/>
  <c r="E1869" i="1"/>
  <c r="F1869" i="1"/>
  <c r="G1869" i="1"/>
  <c r="H1869" i="1"/>
  <c r="I1869" i="1"/>
  <c r="J1869" i="1"/>
  <c r="K1869" i="1"/>
  <c r="L1869" i="1"/>
  <c r="M1869" i="1"/>
  <c r="N1869" i="1"/>
  <c r="O1869" i="1"/>
  <c r="P1869" i="1"/>
  <c r="Q1869" i="1"/>
  <c r="R1869" i="1"/>
  <c r="S1869" i="1"/>
  <c r="T1869" i="1"/>
  <c r="U1869" i="1"/>
  <c r="A1676" i="1"/>
  <c r="B1676" i="1"/>
  <c r="C1676" i="1"/>
  <c r="D1676" i="1"/>
  <c r="E1676" i="1"/>
  <c r="F1676" i="1"/>
  <c r="G1676" i="1"/>
  <c r="H1676" i="1"/>
  <c r="I1676" i="1"/>
  <c r="J1676" i="1"/>
  <c r="K1676" i="1"/>
  <c r="L1676" i="1"/>
  <c r="M1676" i="1"/>
  <c r="N1676" i="1"/>
  <c r="O1676" i="1"/>
  <c r="Q1676" i="1"/>
  <c r="R1676" i="1"/>
  <c r="S1676" i="1"/>
  <c r="T1676" i="1"/>
  <c r="U1676" i="1"/>
  <c r="A603" i="1"/>
  <c r="B603" i="1"/>
  <c r="C603" i="1"/>
  <c r="D603" i="1"/>
  <c r="E603" i="1"/>
  <c r="F603" i="1"/>
  <c r="G603" i="1"/>
  <c r="H603" i="1"/>
  <c r="I603" i="1"/>
  <c r="J603" i="1"/>
  <c r="K603" i="1"/>
  <c r="L603" i="1"/>
  <c r="M603" i="1"/>
  <c r="N603" i="1"/>
  <c r="O603" i="1"/>
  <c r="P603" i="1"/>
  <c r="Q603" i="1"/>
  <c r="R603" i="1"/>
  <c r="S603" i="1"/>
  <c r="T603" i="1"/>
  <c r="U603" i="1"/>
  <c r="A1759" i="1"/>
  <c r="B1759" i="1"/>
  <c r="C1759" i="1"/>
  <c r="D1759" i="1"/>
  <c r="E1759" i="1"/>
  <c r="F1759" i="1"/>
  <c r="G1759" i="1"/>
  <c r="H1759" i="1"/>
  <c r="I1759" i="1"/>
  <c r="J1759" i="1"/>
  <c r="K1759" i="1"/>
  <c r="L1759" i="1"/>
  <c r="M1759" i="1"/>
  <c r="N1759" i="1"/>
  <c r="O1759" i="1"/>
  <c r="P1759" i="1"/>
  <c r="Q1759" i="1"/>
  <c r="R1759" i="1"/>
  <c r="S1759" i="1"/>
  <c r="T1759" i="1"/>
  <c r="U1759" i="1"/>
  <c r="A1815" i="1"/>
  <c r="B1815" i="1"/>
  <c r="C1815" i="1"/>
  <c r="D1815" i="1"/>
  <c r="E1815" i="1"/>
  <c r="F1815" i="1"/>
  <c r="G1815" i="1"/>
  <c r="H1815" i="1"/>
  <c r="I1815" i="1"/>
  <c r="J1815" i="1"/>
  <c r="K1815" i="1"/>
  <c r="L1815" i="1"/>
  <c r="M1815" i="1"/>
  <c r="N1815" i="1"/>
  <c r="O1815" i="1"/>
  <c r="P1815" i="1"/>
  <c r="Q1815" i="1"/>
  <c r="R1815" i="1"/>
  <c r="S1815" i="1"/>
  <c r="T1815" i="1"/>
  <c r="U1815" i="1"/>
  <c r="A1816" i="1"/>
  <c r="B1816" i="1"/>
  <c r="C1816" i="1"/>
  <c r="D1816" i="1"/>
  <c r="E1816" i="1"/>
  <c r="F1816" i="1"/>
  <c r="G1816" i="1"/>
  <c r="H1816" i="1"/>
  <c r="I1816" i="1"/>
  <c r="J1816" i="1"/>
  <c r="K1816" i="1"/>
  <c r="L1816" i="1"/>
  <c r="M1816" i="1"/>
  <c r="N1816" i="1"/>
  <c r="O1816" i="1"/>
  <c r="P1816" i="1"/>
  <c r="Q1816" i="1"/>
  <c r="R1816" i="1"/>
  <c r="S1816" i="1"/>
  <c r="T1816" i="1"/>
  <c r="U1816" i="1"/>
  <c r="A1817" i="1"/>
  <c r="B1817" i="1"/>
  <c r="C1817" i="1"/>
  <c r="D1817" i="1"/>
  <c r="E1817" i="1"/>
  <c r="F1817" i="1"/>
  <c r="G1817" i="1"/>
  <c r="H1817" i="1"/>
  <c r="I1817" i="1"/>
  <c r="J1817" i="1"/>
  <c r="K1817" i="1"/>
  <c r="L1817" i="1"/>
  <c r="M1817" i="1"/>
  <c r="N1817" i="1"/>
  <c r="O1817" i="1"/>
  <c r="P1817" i="1"/>
  <c r="Q1817" i="1"/>
  <c r="R1817" i="1"/>
  <c r="S1817" i="1"/>
  <c r="T1817" i="1"/>
  <c r="U1817" i="1"/>
  <c r="A1818" i="1"/>
  <c r="B1818" i="1"/>
  <c r="C1818" i="1"/>
  <c r="D1818" i="1"/>
  <c r="E1818" i="1"/>
  <c r="F1818" i="1"/>
  <c r="G1818" i="1"/>
  <c r="H1818" i="1"/>
  <c r="I1818" i="1"/>
  <c r="J1818" i="1"/>
  <c r="K1818" i="1"/>
  <c r="L1818" i="1"/>
  <c r="M1818" i="1"/>
  <c r="N1818" i="1"/>
  <c r="O1818" i="1"/>
  <c r="P1818" i="1"/>
  <c r="Q1818" i="1"/>
  <c r="R1818" i="1"/>
  <c r="S1818" i="1"/>
  <c r="T1818" i="1"/>
  <c r="U1818" i="1"/>
  <c r="A1757" i="1"/>
  <c r="B1757" i="1"/>
  <c r="C1757" i="1"/>
  <c r="D1757" i="1"/>
  <c r="E1757" i="1"/>
  <c r="F1757" i="1"/>
  <c r="G1757" i="1"/>
  <c r="H1757" i="1"/>
  <c r="I1757" i="1"/>
  <c r="J1757" i="1"/>
  <c r="K1757" i="1"/>
  <c r="L1757" i="1"/>
  <c r="M1757" i="1"/>
  <c r="N1757" i="1"/>
  <c r="O1757" i="1"/>
  <c r="P1757" i="1"/>
  <c r="Q1757" i="1"/>
  <c r="R1757" i="1"/>
  <c r="S1757" i="1"/>
  <c r="T1757" i="1"/>
  <c r="U1757" i="1"/>
  <c r="A1758" i="1"/>
  <c r="B1758" i="1"/>
  <c r="C1758" i="1"/>
  <c r="D1758" i="1"/>
  <c r="E1758" i="1"/>
  <c r="F1758" i="1"/>
  <c r="G1758" i="1"/>
  <c r="H1758" i="1"/>
  <c r="I1758" i="1"/>
  <c r="J1758" i="1"/>
  <c r="K1758" i="1"/>
  <c r="L1758" i="1"/>
  <c r="M1758" i="1"/>
  <c r="N1758" i="1"/>
  <c r="O1758" i="1"/>
  <c r="P1758" i="1"/>
  <c r="Q1758" i="1"/>
  <c r="R1758" i="1"/>
  <c r="S1758" i="1"/>
  <c r="T1758" i="1"/>
  <c r="U1758" i="1"/>
  <c r="A1687" i="1"/>
  <c r="B1687" i="1"/>
  <c r="C1687" i="1"/>
  <c r="D1687" i="1"/>
  <c r="E1687" i="1"/>
  <c r="F1687" i="1"/>
  <c r="G1687" i="1"/>
  <c r="H1687" i="1"/>
  <c r="I1687" i="1"/>
  <c r="J1687" i="1"/>
  <c r="K1687" i="1"/>
  <c r="L1687" i="1"/>
  <c r="M1687" i="1"/>
  <c r="N1687" i="1"/>
  <c r="O1687" i="1"/>
  <c r="Q1687" i="1"/>
  <c r="R1687" i="1"/>
  <c r="S1687" i="1"/>
  <c r="T1687" i="1"/>
  <c r="U1687" i="1"/>
  <c r="A1690" i="1"/>
  <c r="B1690" i="1"/>
  <c r="C1690" i="1"/>
  <c r="D1690" i="1"/>
  <c r="E1690" i="1"/>
  <c r="F1690" i="1"/>
  <c r="G1690" i="1"/>
  <c r="H1690" i="1"/>
  <c r="I1690" i="1"/>
  <c r="J1690" i="1"/>
  <c r="K1690" i="1"/>
  <c r="L1690" i="1"/>
  <c r="M1690" i="1"/>
  <c r="N1690" i="1"/>
  <c r="O1690" i="1"/>
  <c r="P1690" i="1"/>
  <c r="Q1690" i="1"/>
  <c r="R1690" i="1"/>
  <c r="S1690" i="1"/>
  <c r="T1690" i="1"/>
  <c r="U1690" i="1"/>
  <c r="A1688" i="1"/>
  <c r="B1688" i="1"/>
  <c r="C1688" i="1"/>
  <c r="D1688" i="1"/>
  <c r="E1688" i="1"/>
  <c r="F1688" i="1"/>
  <c r="G1688" i="1"/>
  <c r="H1688" i="1"/>
  <c r="I1688" i="1"/>
  <c r="J1688" i="1"/>
  <c r="K1688" i="1"/>
  <c r="L1688" i="1"/>
  <c r="M1688" i="1"/>
  <c r="N1688" i="1"/>
  <c r="O1688" i="1"/>
  <c r="P1688" i="1"/>
  <c r="Q1688" i="1"/>
  <c r="R1688" i="1"/>
  <c r="S1688" i="1"/>
  <c r="T1688" i="1"/>
  <c r="U1688" i="1"/>
  <c r="A1689" i="1"/>
  <c r="B1689" i="1"/>
  <c r="C1689" i="1"/>
  <c r="D1689" i="1"/>
  <c r="E1689" i="1"/>
  <c r="F1689" i="1"/>
  <c r="G1689" i="1"/>
  <c r="H1689" i="1"/>
  <c r="I1689" i="1"/>
  <c r="J1689" i="1"/>
  <c r="K1689" i="1"/>
  <c r="L1689" i="1"/>
  <c r="M1689" i="1"/>
  <c r="N1689" i="1"/>
  <c r="O1689" i="1"/>
  <c r="P1689" i="1"/>
  <c r="Q1689" i="1"/>
  <c r="R1689" i="1"/>
  <c r="S1689" i="1"/>
  <c r="T1689" i="1"/>
  <c r="U1689" i="1"/>
  <c r="A1678" i="1"/>
  <c r="B1678" i="1"/>
  <c r="C1678" i="1"/>
  <c r="D1678" i="1"/>
  <c r="E1678" i="1"/>
  <c r="F1678" i="1"/>
  <c r="G1678" i="1"/>
  <c r="H1678" i="1"/>
  <c r="I1678" i="1"/>
  <c r="J1678" i="1"/>
  <c r="K1678" i="1"/>
  <c r="L1678" i="1"/>
  <c r="M1678" i="1"/>
  <c r="N1678" i="1"/>
  <c r="O1678" i="1"/>
  <c r="Q1678" i="1"/>
  <c r="R1678" i="1"/>
  <c r="S1678" i="1"/>
  <c r="T1678" i="1"/>
  <c r="U1678" i="1"/>
  <c r="A1679" i="1"/>
  <c r="B1679" i="1"/>
  <c r="C1679" i="1"/>
  <c r="D1679" i="1"/>
  <c r="E1679" i="1"/>
  <c r="F1679" i="1"/>
  <c r="G1679" i="1"/>
  <c r="H1679" i="1"/>
  <c r="I1679" i="1"/>
  <c r="J1679" i="1"/>
  <c r="K1679" i="1"/>
  <c r="L1679" i="1"/>
  <c r="M1679" i="1"/>
  <c r="N1679" i="1"/>
  <c r="O1679" i="1"/>
  <c r="P1679" i="1"/>
  <c r="Q1679" i="1"/>
  <c r="R1679" i="1"/>
  <c r="S1679" i="1"/>
  <c r="T1679" i="1"/>
  <c r="U1679" i="1"/>
  <c r="A1680" i="1"/>
  <c r="B1680" i="1"/>
  <c r="C1680" i="1"/>
  <c r="D1680" i="1"/>
  <c r="E1680" i="1"/>
  <c r="F1680" i="1"/>
  <c r="G1680" i="1"/>
  <c r="H1680" i="1"/>
  <c r="I1680" i="1"/>
  <c r="J1680" i="1"/>
  <c r="K1680" i="1"/>
  <c r="L1680" i="1"/>
  <c r="M1680" i="1"/>
  <c r="N1680" i="1"/>
  <c r="O1680" i="1"/>
  <c r="P1680" i="1"/>
  <c r="Q1680" i="1"/>
  <c r="R1680" i="1"/>
  <c r="S1680" i="1"/>
  <c r="T1680" i="1"/>
  <c r="U1680" i="1"/>
  <c r="A1681" i="1"/>
  <c r="B1681" i="1"/>
  <c r="C1681" i="1"/>
  <c r="D1681" i="1"/>
  <c r="E1681" i="1"/>
  <c r="F1681" i="1"/>
  <c r="G1681" i="1"/>
  <c r="H1681" i="1"/>
  <c r="I1681" i="1"/>
  <c r="J1681" i="1"/>
  <c r="K1681" i="1"/>
  <c r="L1681" i="1"/>
  <c r="M1681" i="1"/>
  <c r="N1681" i="1"/>
  <c r="O1681" i="1"/>
  <c r="P1681" i="1"/>
  <c r="Q1681" i="1"/>
  <c r="R1681" i="1"/>
  <c r="S1681" i="1"/>
  <c r="T1681" i="1"/>
  <c r="U1681" i="1"/>
  <c r="A1682" i="1"/>
  <c r="B1682" i="1"/>
  <c r="C1682" i="1"/>
  <c r="D1682" i="1"/>
  <c r="E1682" i="1"/>
  <c r="F1682" i="1"/>
  <c r="G1682" i="1"/>
  <c r="H1682" i="1"/>
  <c r="I1682" i="1"/>
  <c r="J1682" i="1"/>
  <c r="K1682" i="1"/>
  <c r="L1682" i="1"/>
  <c r="M1682" i="1"/>
  <c r="N1682" i="1"/>
  <c r="O1682" i="1"/>
  <c r="P1682" i="1"/>
  <c r="Q1682" i="1"/>
  <c r="R1682" i="1"/>
  <c r="S1682" i="1"/>
  <c r="T1682" i="1"/>
  <c r="U1682" i="1"/>
  <c r="A1683" i="1"/>
  <c r="B1683" i="1"/>
  <c r="C1683" i="1"/>
  <c r="D1683" i="1"/>
  <c r="E1683" i="1"/>
  <c r="F1683" i="1"/>
  <c r="G1683" i="1"/>
  <c r="H1683" i="1"/>
  <c r="I1683" i="1"/>
  <c r="J1683" i="1"/>
  <c r="K1683" i="1"/>
  <c r="L1683" i="1"/>
  <c r="M1683" i="1"/>
  <c r="N1683" i="1"/>
  <c r="O1683" i="1"/>
  <c r="P1683" i="1"/>
  <c r="Q1683" i="1"/>
  <c r="R1683" i="1"/>
  <c r="S1683" i="1"/>
  <c r="T1683" i="1"/>
  <c r="U1683" i="1"/>
  <c r="A1684" i="1"/>
  <c r="B1684" i="1"/>
  <c r="C1684" i="1"/>
  <c r="D1684" i="1"/>
  <c r="E1684" i="1"/>
  <c r="F1684" i="1"/>
  <c r="G1684" i="1"/>
  <c r="H1684" i="1"/>
  <c r="I1684" i="1"/>
  <c r="J1684" i="1"/>
  <c r="K1684" i="1"/>
  <c r="L1684" i="1"/>
  <c r="M1684" i="1"/>
  <c r="N1684" i="1"/>
  <c r="O1684" i="1"/>
  <c r="P1684" i="1"/>
  <c r="Q1684" i="1"/>
  <c r="R1684" i="1"/>
  <c r="S1684" i="1"/>
  <c r="T1684" i="1"/>
  <c r="U1684" i="1"/>
  <c r="A1685" i="1"/>
  <c r="B1685" i="1"/>
  <c r="C1685" i="1"/>
  <c r="D1685" i="1"/>
  <c r="E1685" i="1"/>
  <c r="F1685" i="1"/>
  <c r="G1685" i="1"/>
  <c r="H1685" i="1"/>
  <c r="I1685" i="1"/>
  <c r="J1685" i="1"/>
  <c r="K1685" i="1"/>
  <c r="L1685" i="1"/>
  <c r="M1685" i="1"/>
  <c r="N1685" i="1"/>
  <c r="O1685" i="1"/>
  <c r="P1685" i="1"/>
  <c r="Q1685" i="1"/>
  <c r="R1685" i="1"/>
  <c r="S1685" i="1"/>
  <c r="T1685" i="1"/>
  <c r="U1685" i="1"/>
  <c r="A1677" i="1"/>
  <c r="B1677" i="1"/>
  <c r="C1677" i="1"/>
  <c r="D1677" i="1"/>
  <c r="E1677" i="1"/>
  <c r="F1677" i="1"/>
  <c r="G1677" i="1"/>
  <c r="H1677" i="1"/>
  <c r="I1677" i="1"/>
  <c r="J1677" i="1"/>
  <c r="K1677" i="1"/>
  <c r="L1677" i="1"/>
  <c r="M1677" i="1"/>
  <c r="N1677" i="1"/>
  <c r="O1677" i="1"/>
  <c r="Q1677" i="1"/>
  <c r="R1677" i="1"/>
  <c r="S1677" i="1"/>
  <c r="U1677" i="1"/>
  <c r="A1686" i="1"/>
  <c r="B1686" i="1"/>
  <c r="C1686" i="1"/>
  <c r="D1686" i="1"/>
  <c r="E1686" i="1"/>
  <c r="F1686" i="1"/>
  <c r="G1686" i="1"/>
  <c r="H1686" i="1"/>
  <c r="I1686" i="1"/>
  <c r="J1686" i="1"/>
  <c r="K1686" i="1"/>
  <c r="L1686" i="1"/>
  <c r="M1686" i="1"/>
  <c r="N1686" i="1"/>
  <c r="O1686" i="1"/>
  <c r="P1686" i="1"/>
  <c r="Q1686" i="1"/>
  <c r="R1686" i="1"/>
  <c r="S1686" i="1"/>
  <c r="T1686" i="1"/>
  <c r="U1686" i="1"/>
  <c r="A1618" i="1"/>
  <c r="B1618" i="1"/>
  <c r="C1618" i="1"/>
  <c r="D1618" i="1"/>
  <c r="E1618" i="1"/>
  <c r="F1618" i="1"/>
  <c r="G1618" i="1"/>
  <c r="H1618" i="1"/>
  <c r="I1618" i="1"/>
  <c r="J1618" i="1"/>
  <c r="K1618" i="1"/>
  <c r="L1618" i="1"/>
  <c r="M1618" i="1"/>
  <c r="N1618" i="1"/>
  <c r="O1618" i="1"/>
  <c r="P1618" i="1"/>
  <c r="Q1618" i="1"/>
  <c r="R1618" i="1"/>
  <c r="S1618" i="1"/>
  <c r="T1618" i="1"/>
  <c r="U1618" i="1"/>
  <c r="A1619" i="1"/>
  <c r="B1619" i="1"/>
  <c r="C1619" i="1"/>
  <c r="D1619" i="1"/>
  <c r="E1619" i="1"/>
  <c r="F1619" i="1"/>
  <c r="G1619" i="1"/>
  <c r="H1619" i="1"/>
  <c r="I1619" i="1"/>
  <c r="J1619" i="1"/>
  <c r="K1619" i="1"/>
  <c r="L1619" i="1"/>
  <c r="M1619" i="1"/>
  <c r="N1619" i="1"/>
  <c r="O1619" i="1"/>
  <c r="P1619" i="1"/>
  <c r="Q1619" i="1"/>
  <c r="R1619" i="1"/>
  <c r="S1619" i="1"/>
  <c r="T1619" i="1"/>
  <c r="U1619" i="1"/>
  <c r="A1617" i="1"/>
  <c r="B1617" i="1"/>
  <c r="C1617" i="1"/>
  <c r="D1617" i="1"/>
  <c r="E1617" i="1"/>
  <c r="F1617" i="1"/>
  <c r="G1617" i="1"/>
  <c r="H1617" i="1"/>
  <c r="I1617" i="1"/>
  <c r="J1617" i="1"/>
  <c r="K1617" i="1"/>
  <c r="L1617" i="1"/>
  <c r="M1617" i="1"/>
  <c r="N1617" i="1"/>
  <c r="O1617" i="1"/>
  <c r="Q1617" i="1"/>
  <c r="R1617" i="1"/>
  <c r="S1617" i="1"/>
  <c r="T1617" i="1"/>
  <c r="U1617" i="1"/>
  <c r="A1620" i="1"/>
  <c r="B1620" i="1"/>
  <c r="C1620" i="1"/>
  <c r="D1620" i="1"/>
  <c r="E1620" i="1"/>
  <c r="F1620" i="1"/>
  <c r="G1620" i="1"/>
  <c r="H1620" i="1"/>
  <c r="I1620" i="1"/>
  <c r="J1620" i="1"/>
  <c r="K1620" i="1"/>
  <c r="L1620" i="1"/>
  <c r="M1620" i="1"/>
  <c r="N1620" i="1"/>
  <c r="O1620" i="1"/>
  <c r="P1620" i="1"/>
  <c r="Q1620" i="1"/>
  <c r="R1620" i="1"/>
  <c r="S1620" i="1"/>
  <c r="T1620" i="1"/>
  <c r="U1620" i="1"/>
  <c r="A92" i="1"/>
  <c r="B92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A1615" i="1"/>
  <c r="B1615" i="1"/>
  <c r="C1615" i="1"/>
  <c r="D1615" i="1"/>
  <c r="E1615" i="1"/>
  <c r="F1615" i="1"/>
  <c r="G1615" i="1"/>
  <c r="H1615" i="1"/>
  <c r="I1615" i="1"/>
  <c r="J1615" i="1"/>
  <c r="K1615" i="1"/>
  <c r="L1615" i="1"/>
  <c r="M1615" i="1"/>
  <c r="N1615" i="1"/>
  <c r="O1615" i="1"/>
  <c r="Q1615" i="1"/>
  <c r="R1615" i="1"/>
  <c r="S1615" i="1"/>
  <c r="T1615" i="1"/>
  <c r="U1615" i="1"/>
  <c r="A1616" i="1"/>
  <c r="B1616" i="1"/>
  <c r="C1616" i="1"/>
  <c r="D1616" i="1"/>
  <c r="E1616" i="1"/>
  <c r="F1616" i="1"/>
  <c r="G1616" i="1"/>
  <c r="H1616" i="1"/>
  <c r="I1616" i="1"/>
  <c r="J1616" i="1"/>
  <c r="K1616" i="1"/>
  <c r="L1616" i="1"/>
  <c r="M1616" i="1"/>
  <c r="N1616" i="1"/>
  <c r="O1616" i="1"/>
  <c r="P1616" i="1"/>
  <c r="Q1616" i="1"/>
  <c r="R1616" i="1"/>
  <c r="S1616" i="1"/>
  <c r="T1616" i="1"/>
  <c r="U1616" i="1"/>
  <c r="A1356" i="1"/>
  <c r="B1356" i="1"/>
  <c r="C1356" i="1"/>
  <c r="D1356" i="1"/>
  <c r="E1356" i="1"/>
  <c r="F1356" i="1"/>
  <c r="G1356" i="1"/>
  <c r="H1356" i="1"/>
  <c r="I1356" i="1"/>
  <c r="J1356" i="1"/>
  <c r="K1356" i="1"/>
  <c r="L1356" i="1"/>
  <c r="M1356" i="1"/>
  <c r="N1356" i="1"/>
  <c r="O1356" i="1"/>
  <c r="P1356" i="1"/>
  <c r="Q1356" i="1"/>
  <c r="R1356" i="1"/>
  <c r="S1356" i="1"/>
  <c r="U1356" i="1"/>
  <c r="A1420" i="1"/>
  <c r="B1420" i="1"/>
  <c r="C1420" i="1"/>
  <c r="D1420" i="1"/>
  <c r="E1420" i="1"/>
  <c r="F1420" i="1"/>
  <c r="G1420" i="1"/>
  <c r="H1420" i="1"/>
  <c r="I1420" i="1"/>
  <c r="J1420" i="1"/>
  <c r="K1420" i="1"/>
  <c r="L1420" i="1"/>
  <c r="M1420" i="1"/>
  <c r="N1420" i="1"/>
  <c r="O1420" i="1"/>
  <c r="P1420" i="1"/>
  <c r="Q1420" i="1"/>
  <c r="R1420" i="1"/>
  <c r="S1420" i="1"/>
  <c r="T1420" i="1"/>
  <c r="U1420" i="1"/>
  <c r="A1355" i="1"/>
  <c r="B1355" i="1"/>
  <c r="C1355" i="1"/>
  <c r="D1355" i="1"/>
  <c r="E1355" i="1"/>
  <c r="F1355" i="1"/>
  <c r="G1355" i="1"/>
  <c r="H1355" i="1"/>
  <c r="I1355" i="1"/>
  <c r="J1355" i="1"/>
  <c r="K1355" i="1"/>
  <c r="L1355" i="1"/>
  <c r="M1355" i="1"/>
  <c r="N1355" i="1"/>
  <c r="O1355" i="1"/>
  <c r="Q1355" i="1"/>
  <c r="R1355" i="1"/>
  <c r="S1355" i="1"/>
  <c r="T1355" i="1"/>
  <c r="U1355" i="1"/>
  <c r="A1279" i="1"/>
  <c r="B1279" i="1"/>
  <c r="C1279" i="1"/>
  <c r="D1279" i="1"/>
  <c r="E1279" i="1"/>
  <c r="F1279" i="1"/>
  <c r="G1279" i="1"/>
  <c r="H1279" i="1"/>
  <c r="I1279" i="1"/>
  <c r="J1279" i="1"/>
  <c r="K1279" i="1"/>
  <c r="L1279" i="1"/>
  <c r="M1279" i="1"/>
  <c r="N1279" i="1"/>
  <c r="O1279" i="1"/>
  <c r="P1279" i="1"/>
  <c r="Q1279" i="1"/>
  <c r="R1279" i="1"/>
  <c r="S1279" i="1"/>
  <c r="T1279" i="1"/>
  <c r="U1279" i="1"/>
  <c r="A1354" i="1"/>
  <c r="B1354" i="1"/>
  <c r="C1354" i="1"/>
  <c r="D1354" i="1"/>
  <c r="E1354" i="1"/>
  <c r="F1354" i="1"/>
  <c r="G1354" i="1"/>
  <c r="H1354" i="1"/>
  <c r="I1354" i="1"/>
  <c r="J1354" i="1"/>
  <c r="K1354" i="1"/>
  <c r="M1354" i="1"/>
  <c r="N1354" i="1"/>
  <c r="O1354" i="1"/>
  <c r="P1354" i="1"/>
  <c r="Q1354" i="1"/>
  <c r="R1354" i="1"/>
  <c r="S1354" i="1"/>
  <c r="T1354" i="1"/>
  <c r="U1354" i="1"/>
  <c r="A1353" i="1"/>
  <c r="B1353" i="1"/>
  <c r="C1353" i="1"/>
  <c r="D1353" i="1"/>
  <c r="E1353" i="1"/>
  <c r="F1353" i="1"/>
  <c r="G1353" i="1"/>
  <c r="H1353" i="1"/>
  <c r="I1353" i="1"/>
  <c r="J1353" i="1"/>
  <c r="K1353" i="1"/>
  <c r="L1353" i="1"/>
  <c r="M1353" i="1"/>
  <c r="N1353" i="1"/>
  <c r="O1353" i="1"/>
  <c r="P1353" i="1"/>
  <c r="Q1353" i="1"/>
  <c r="R1353" i="1"/>
  <c r="S1353" i="1"/>
  <c r="T1353" i="1"/>
  <c r="U1353" i="1"/>
  <c r="A1211" i="1"/>
  <c r="B1211" i="1"/>
  <c r="C1211" i="1"/>
  <c r="D1211" i="1"/>
  <c r="E1211" i="1"/>
  <c r="F1211" i="1"/>
  <c r="G1211" i="1"/>
  <c r="H1211" i="1"/>
  <c r="I1211" i="1"/>
  <c r="J1211" i="1"/>
  <c r="K1211" i="1"/>
  <c r="M1211" i="1"/>
  <c r="N1211" i="1"/>
  <c r="O1211" i="1"/>
  <c r="P1211" i="1"/>
  <c r="Q1211" i="1"/>
  <c r="R1211" i="1"/>
  <c r="S1211" i="1"/>
  <c r="T1211" i="1"/>
  <c r="U1211" i="1"/>
  <c r="A1210" i="1"/>
  <c r="B1210" i="1"/>
  <c r="C1210" i="1"/>
  <c r="D1210" i="1"/>
  <c r="E1210" i="1"/>
  <c r="F1210" i="1"/>
  <c r="G1210" i="1"/>
  <c r="H1210" i="1"/>
  <c r="I1210" i="1"/>
  <c r="J1210" i="1"/>
  <c r="K1210" i="1"/>
  <c r="L1210" i="1"/>
  <c r="M1210" i="1"/>
  <c r="N1210" i="1"/>
  <c r="O1210" i="1"/>
  <c r="Q1210" i="1"/>
  <c r="R1210" i="1"/>
  <c r="S1210" i="1"/>
  <c r="U1210" i="1"/>
  <c r="A1278" i="1"/>
  <c r="B1278" i="1"/>
  <c r="C1278" i="1"/>
  <c r="D1278" i="1"/>
  <c r="E1278" i="1"/>
  <c r="F1278" i="1"/>
  <c r="G1278" i="1"/>
  <c r="H1278" i="1"/>
  <c r="I1278" i="1"/>
  <c r="J1278" i="1"/>
  <c r="K1278" i="1"/>
  <c r="M1278" i="1"/>
  <c r="N1278" i="1"/>
  <c r="O1278" i="1"/>
  <c r="Q1278" i="1"/>
  <c r="R1278" i="1"/>
  <c r="S1278" i="1"/>
  <c r="U1278" i="1"/>
  <c r="A1163" i="1"/>
  <c r="B1163" i="1"/>
  <c r="C1163" i="1"/>
  <c r="D1163" i="1"/>
  <c r="E1163" i="1"/>
  <c r="F1163" i="1"/>
  <c r="G1163" i="1"/>
  <c r="H1163" i="1"/>
  <c r="I1163" i="1"/>
  <c r="J1163" i="1"/>
  <c r="K1163" i="1"/>
  <c r="L1163" i="1"/>
  <c r="M1163" i="1"/>
  <c r="N1163" i="1"/>
  <c r="O1163" i="1"/>
  <c r="Q1163" i="1"/>
  <c r="R1163" i="1"/>
  <c r="S1163" i="1"/>
  <c r="U1163" i="1"/>
  <c r="A604" i="1"/>
  <c r="B604" i="1"/>
  <c r="C604" i="1"/>
  <c r="D604" i="1"/>
  <c r="E604" i="1"/>
  <c r="F604" i="1"/>
  <c r="G604" i="1"/>
  <c r="H604" i="1"/>
  <c r="I604" i="1"/>
  <c r="J604" i="1"/>
  <c r="K604" i="1"/>
  <c r="L604" i="1"/>
  <c r="M604" i="1"/>
  <c r="N604" i="1"/>
  <c r="O604" i="1"/>
  <c r="P604" i="1"/>
  <c r="Q604" i="1"/>
  <c r="R604" i="1"/>
  <c r="S604" i="1"/>
  <c r="T604" i="1"/>
  <c r="U604" i="1"/>
  <c r="A605" i="1"/>
  <c r="B605" i="1"/>
  <c r="C605" i="1"/>
  <c r="D605" i="1"/>
  <c r="E605" i="1"/>
  <c r="F605" i="1"/>
  <c r="G605" i="1"/>
  <c r="H605" i="1"/>
  <c r="I605" i="1"/>
  <c r="J605" i="1"/>
  <c r="K605" i="1"/>
  <c r="L605" i="1"/>
  <c r="M605" i="1"/>
  <c r="N605" i="1"/>
  <c r="O605" i="1"/>
  <c r="P605" i="1"/>
  <c r="Q605" i="1"/>
  <c r="R605" i="1"/>
  <c r="S605" i="1"/>
  <c r="T605" i="1"/>
  <c r="U605" i="1"/>
  <c r="A546" i="1"/>
  <c r="B546" i="1"/>
  <c r="C546" i="1"/>
  <c r="D546" i="1"/>
  <c r="E546" i="1"/>
  <c r="F546" i="1"/>
  <c r="G546" i="1"/>
  <c r="H546" i="1"/>
  <c r="I546" i="1"/>
  <c r="J546" i="1"/>
  <c r="K546" i="1"/>
  <c r="L546" i="1"/>
  <c r="M546" i="1"/>
  <c r="N546" i="1"/>
  <c r="O546" i="1"/>
  <c r="P546" i="1"/>
  <c r="Q546" i="1"/>
  <c r="R546" i="1"/>
  <c r="S546" i="1"/>
  <c r="T546" i="1"/>
  <c r="U546" i="1"/>
  <c r="A547" i="1"/>
  <c r="B547" i="1"/>
  <c r="C547" i="1"/>
  <c r="D547" i="1"/>
  <c r="E547" i="1"/>
  <c r="F547" i="1"/>
  <c r="G547" i="1"/>
  <c r="H547" i="1"/>
  <c r="I547" i="1"/>
  <c r="J547" i="1"/>
  <c r="K547" i="1"/>
  <c r="L547" i="1"/>
  <c r="M547" i="1"/>
  <c r="N547" i="1"/>
  <c r="O547" i="1"/>
  <c r="P547" i="1"/>
  <c r="Q547" i="1"/>
  <c r="R547" i="1"/>
  <c r="S547" i="1"/>
  <c r="T547" i="1"/>
  <c r="U547" i="1"/>
  <c r="A483" i="1"/>
  <c r="B483" i="1"/>
  <c r="C483" i="1"/>
  <c r="D483" i="1"/>
  <c r="E483" i="1"/>
  <c r="F483" i="1"/>
  <c r="G483" i="1"/>
  <c r="H483" i="1"/>
  <c r="I483" i="1"/>
  <c r="J483" i="1"/>
  <c r="K483" i="1"/>
  <c r="L483" i="1"/>
  <c r="M483" i="1"/>
  <c r="N483" i="1"/>
  <c r="O483" i="1"/>
  <c r="P483" i="1"/>
  <c r="Q483" i="1"/>
  <c r="R483" i="1"/>
  <c r="S483" i="1"/>
  <c r="T483" i="1"/>
  <c r="U483" i="1"/>
  <c r="A484" i="1"/>
  <c r="B484" i="1"/>
  <c r="C484" i="1"/>
  <c r="D484" i="1"/>
  <c r="E484" i="1"/>
  <c r="F484" i="1"/>
  <c r="G484" i="1"/>
  <c r="H484" i="1"/>
  <c r="I484" i="1"/>
  <c r="J484" i="1"/>
  <c r="K484" i="1"/>
  <c r="L484" i="1"/>
  <c r="M484" i="1"/>
  <c r="N484" i="1"/>
  <c r="O484" i="1"/>
  <c r="P484" i="1"/>
  <c r="Q484" i="1"/>
  <c r="R484" i="1"/>
  <c r="S484" i="1"/>
  <c r="T484" i="1"/>
  <c r="U484" i="1"/>
  <c r="A485" i="1"/>
  <c r="B485" i="1"/>
  <c r="C485" i="1"/>
  <c r="D485" i="1"/>
  <c r="E485" i="1"/>
  <c r="F485" i="1"/>
  <c r="G485" i="1"/>
  <c r="H485" i="1"/>
  <c r="I485" i="1"/>
  <c r="J485" i="1"/>
  <c r="K485" i="1"/>
  <c r="L485" i="1"/>
  <c r="M485" i="1"/>
  <c r="N485" i="1"/>
  <c r="O485" i="1"/>
  <c r="P485" i="1"/>
  <c r="Q485" i="1"/>
  <c r="R485" i="1"/>
  <c r="S485" i="1"/>
  <c r="T485" i="1"/>
  <c r="U485" i="1"/>
  <c r="A486" i="1"/>
  <c r="B486" i="1"/>
  <c r="C486" i="1"/>
  <c r="D486" i="1"/>
  <c r="E486" i="1"/>
  <c r="F486" i="1"/>
  <c r="G486" i="1"/>
  <c r="H486" i="1"/>
  <c r="I486" i="1"/>
  <c r="J486" i="1"/>
  <c r="K486" i="1"/>
  <c r="L486" i="1"/>
  <c r="M486" i="1"/>
  <c r="N486" i="1"/>
  <c r="O486" i="1"/>
  <c r="P486" i="1"/>
  <c r="Q486" i="1"/>
  <c r="R486" i="1"/>
  <c r="S486" i="1"/>
  <c r="T486" i="1"/>
  <c r="U486" i="1"/>
  <c r="A418" i="1"/>
  <c r="B418" i="1"/>
  <c r="C418" i="1"/>
  <c r="D418" i="1"/>
  <c r="E418" i="1"/>
  <c r="F418" i="1"/>
  <c r="G418" i="1"/>
  <c r="H418" i="1"/>
  <c r="I418" i="1"/>
  <c r="J418" i="1"/>
  <c r="K418" i="1"/>
  <c r="L418" i="1"/>
  <c r="M418" i="1"/>
  <c r="N418" i="1"/>
  <c r="O418" i="1"/>
  <c r="P418" i="1"/>
  <c r="Q418" i="1"/>
  <c r="R418" i="1"/>
  <c r="S418" i="1"/>
  <c r="T418" i="1"/>
  <c r="U418" i="1"/>
  <c r="A336" i="1"/>
  <c r="B336" i="1"/>
  <c r="C336" i="1"/>
  <c r="D336" i="1"/>
  <c r="E336" i="1"/>
  <c r="F336" i="1"/>
  <c r="G336" i="1"/>
  <c r="H336" i="1"/>
  <c r="I336" i="1"/>
  <c r="J336" i="1"/>
  <c r="K336" i="1"/>
  <c r="L336" i="1"/>
  <c r="M336" i="1"/>
  <c r="N336" i="1"/>
  <c r="O336" i="1"/>
  <c r="P336" i="1"/>
  <c r="Q336" i="1"/>
  <c r="R336" i="1"/>
  <c r="S336" i="1"/>
  <c r="T336" i="1"/>
  <c r="U336" i="1"/>
  <c r="A337" i="1"/>
  <c r="B337" i="1"/>
  <c r="C337" i="1"/>
  <c r="D337" i="1"/>
  <c r="E337" i="1"/>
  <c r="F337" i="1"/>
  <c r="G337" i="1"/>
  <c r="H337" i="1"/>
  <c r="I337" i="1"/>
  <c r="J337" i="1"/>
  <c r="K337" i="1"/>
  <c r="L337" i="1"/>
  <c r="M337" i="1"/>
  <c r="N337" i="1"/>
  <c r="O337" i="1"/>
  <c r="P337" i="1"/>
  <c r="Q337" i="1"/>
  <c r="R337" i="1"/>
  <c r="S337" i="1"/>
  <c r="T337" i="1"/>
  <c r="U337" i="1"/>
  <c r="A338" i="1"/>
  <c r="B338" i="1"/>
  <c r="C338" i="1"/>
  <c r="D338" i="1"/>
  <c r="E338" i="1"/>
  <c r="F338" i="1"/>
  <c r="G338" i="1"/>
  <c r="H338" i="1"/>
  <c r="I338" i="1"/>
  <c r="J338" i="1"/>
  <c r="K338" i="1"/>
  <c r="L338" i="1"/>
  <c r="M338" i="1"/>
  <c r="N338" i="1"/>
  <c r="O338" i="1"/>
  <c r="P338" i="1"/>
  <c r="Q338" i="1"/>
  <c r="R338" i="1"/>
  <c r="S338" i="1"/>
  <c r="T338" i="1"/>
  <c r="U338" i="1"/>
  <c r="A1856" i="1"/>
  <c r="B1856" i="1"/>
  <c r="C1856" i="1"/>
  <c r="D1856" i="1"/>
  <c r="E1856" i="1"/>
  <c r="F1856" i="1"/>
  <c r="G1856" i="1"/>
  <c r="H1856" i="1"/>
  <c r="I1856" i="1"/>
  <c r="J1856" i="1"/>
  <c r="K1856" i="1"/>
  <c r="L1856" i="1"/>
  <c r="M1856" i="1"/>
  <c r="N1856" i="1"/>
  <c r="O1856" i="1"/>
  <c r="P1856" i="1"/>
  <c r="Q1856" i="1"/>
  <c r="R1856" i="1"/>
  <c r="S1856" i="1"/>
  <c r="T1856" i="1"/>
  <c r="U1856" i="1"/>
  <c r="A43" i="1"/>
  <c r="B43" i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A283" i="1"/>
  <c r="B283" i="1"/>
  <c r="C283" i="1"/>
  <c r="D283" i="1"/>
  <c r="E283" i="1"/>
  <c r="F283" i="1"/>
  <c r="G283" i="1"/>
  <c r="H283" i="1"/>
  <c r="I283" i="1"/>
  <c r="J283" i="1"/>
  <c r="K283" i="1"/>
  <c r="L283" i="1"/>
  <c r="M283" i="1"/>
  <c r="N283" i="1"/>
  <c r="O283" i="1"/>
  <c r="P283" i="1"/>
  <c r="Q283" i="1"/>
  <c r="R283" i="1"/>
  <c r="S283" i="1"/>
  <c r="T283" i="1"/>
  <c r="U283" i="1"/>
  <c r="A602" i="1"/>
  <c r="B602" i="1"/>
  <c r="C602" i="1"/>
  <c r="D602" i="1"/>
  <c r="E602" i="1"/>
  <c r="F602" i="1"/>
  <c r="G602" i="1"/>
  <c r="H602" i="1"/>
  <c r="I602" i="1"/>
  <c r="J602" i="1"/>
  <c r="K602" i="1"/>
  <c r="L602" i="1"/>
  <c r="M602" i="1"/>
  <c r="N602" i="1"/>
  <c r="O602" i="1"/>
  <c r="Q602" i="1"/>
  <c r="R602" i="1"/>
  <c r="S602" i="1"/>
  <c r="T602" i="1"/>
  <c r="U602" i="1"/>
  <c r="A91" i="1"/>
  <c r="B91" i="1"/>
  <c r="C91" i="1"/>
  <c r="D91" i="1"/>
  <c r="E91" i="1"/>
  <c r="F91" i="1"/>
  <c r="G91" i="1"/>
  <c r="H91" i="1"/>
  <c r="I91" i="1"/>
  <c r="J91" i="1"/>
  <c r="K91" i="1"/>
  <c r="M91" i="1"/>
  <c r="N91" i="1"/>
  <c r="O91" i="1"/>
  <c r="P91" i="1"/>
  <c r="Q91" i="1"/>
  <c r="R91" i="1"/>
  <c r="S91" i="1"/>
  <c r="T91" i="1"/>
  <c r="U91" i="1"/>
  <c r="A335" i="1"/>
  <c r="B335" i="1"/>
  <c r="C335" i="1"/>
  <c r="D335" i="1"/>
  <c r="E335" i="1"/>
  <c r="F335" i="1"/>
  <c r="G335" i="1"/>
  <c r="H335" i="1"/>
  <c r="I335" i="1"/>
  <c r="J335" i="1"/>
  <c r="K335" i="1"/>
  <c r="L335" i="1"/>
  <c r="M335" i="1"/>
  <c r="N335" i="1"/>
  <c r="O335" i="1"/>
  <c r="Q335" i="1"/>
  <c r="R335" i="1"/>
  <c r="S335" i="1"/>
  <c r="U335" i="1"/>
  <c r="A282" i="1"/>
  <c r="B282" i="1"/>
  <c r="C282" i="1"/>
  <c r="D282" i="1"/>
  <c r="E282" i="1"/>
  <c r="F282" i="1"/>
  <c r="G282" i="1"/>
  <c r="H282" i="1"/>
  <c r="I282" i="1"/>
  <c r="J282" i="1"/>
  <c r="K282" i="1"/>
  <c r="L282" i="1"/>
  <c r="M282" i="1"/>
  <c r="N282" i="1"/>
  <c r="O282" i="1"/>
  <c r="P282" i="1"/>
  <c r="Q282" i="1"/>
  <c r="R282" i="1"/>
  <c r="S282" i="1"/>
  <c r="U282" i="1"/>
  <c r="A40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A41" i="1"/>
  <c r="B41" i="1"/>
  <c r="C41" i="1"/>
  <c r="D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A1809" i="1"/>
  <c r="B1809" i="1"/>
  <c r="C1809" i="1"/>
  <c r="D1809" i="1"/>
  <c r="E1809" i="1"/>
  <c r="F1809" i="1"/>
  <c r="G1809" i="1"/>
  <c r="H1809" i="1"/>
  <c r="I1809" i="1"/>
  <c r="J1809" i="1"/>
  <c r="K1809" i="1"/>
  <c r="L1809" i="1"/>
  <c r="M1809" i="1"/>
  <c r="N1809" i="1"/>
  <c r="O1809" i="1"/>
  <c r="P1809" i="1"/>
  <c r="Q1809" i="1"/>
  <c r="R1809" i="1"/>
  <c r="S1809" i="1"/>
  <c r="T1809" i="1"/>
  <c r="U1809" i="1"/>
  <c r="A1811" i="1"/>
  <c r="B1811" i="1"/>
  <c r="C1811" i="1"/>
  <c r="D1811" i="1"/>
  <c r="E1811" i="1"/>
  <c r="F1811" i="1"/>
  <c r="G1811" i="1"/>
  <c r="H1811" i="1"/>
  <c r="I1811" i="1"/>
  <c r="J1811" i="1"/>
  <c r="K1811" i="1"/>
  <c r="M1811" i="1"/>
  <c r="N1811" i="1"/>
  <c r="O1811" i="1"/>
  <c r="P1811" i="1"/>
  <c r="Q1811" i="1"/>
  <c r="R1811" i="1"/>
  <c r="S1811" i="1"/>
  <c r="T1811" i="1"/>
  <c r="U1811" i="1"/>
  <c r="A1810" i="1"/>
  <c r="B1810" i="1"/>
  <c r="C1810" i="1"/>
  <c r="D1810" i="1"/>
  <c r="E1810" i="1"/>
  <c r="F1810" i="1"/>
  <c r="G1810" i="1"/>
  <c r="H1810" i="1"/>
  <c r="I1810" i="1"/>
  <c r="J1810" i="1"/>
  <c r="K1810" i="1"/>
  <c r="L1810" i="1"/>
  <c r="M1810" i="1"/>
  <c r="N1810" i="1"/>
  <c r="O1810" i="1"/>
  <c r="P1810" i="1"/>
  <c r="Q1810" i="1"/>
  <c r="R1810" i="1"/>
  <c r="S1810" i="1"/>
  <c r="T1810" i="1"/>
  <c r="U1810" i="1"/>
  <c r="A1748" i="1"/>
  <c r="B1748" i="1"/>
  <c r="C1748" i="1"/>
  <c r="D1748" i="1"/>
  <c r="E1748" i="1"/>
  <c r="F1748" i="1"/>
  <c r="G1748" i="1"/>
  <c r="H1748" i="1"/>
  <c r="I1748" i="1"/>
  <c r="J1748" i="1"/>
  <c r="K1748" i="1"/>
  <c r="L1748" i="1"/>
  <c r="M1748" i="1"/>
  <c r="N1748" i="1"/>
  <c r="O1748" i="1"/>
  <c r="P1748" i="1"/>
  <c r="Q1748" i="1"/>
  <c r="R1748" i="1"/>
  <c r="S1748" i="1"/>
  <c r="T1748" i="1"/>
  <c r="U1748" i="1"/>
  <c r="A1749" i="1"/>
  <c r="B1749" i="1"/>
  <c r="C1749" i="1"/>
  <c r="D1749" i="1"/>
  <c r="E1749" i="1"/>
  <c r="F1749" i="1"/>
  <c r="G1749" i="1"/>
  <c r="H1749" i="1"/>
  <c r="I1749" i="1"/>
  <c r="J1749" i="1"/>
  <c r="K1749" i="1"/>
  <c r="M1749" i="1"/>
  <c r="N1749" i="1"/>
  <c r="O1749" i="1"/>
  <c r="P1749" i="1"/>
  <c r="Q1749" i="1"/>
  <c r="R1749" i="1"/>
  <c r="S1749" i="1"/>
  <c r="T1749" i="1"/>
  <c r="U1749" i="1"/>
  <c r="A1536" i="1"/>
  <c r="B1536" i="1"/>
  <c r="C1536" i="1"/>
  <c r="D1536" i="1"/>
  <c r="E1536" i="1"/>
  <c r="F1536" i="1"/>
  <c r="G1536" i="1"/>
  <c r="H1536" i="1"/>
  <c r="I1536" i="1"/>
  <c r="J1536" i="1"/>
  <c r="K1536" i="1"/>
  <c r="L1536" i="1"/>
  <c r="M1536" i="1"/>
  <c r="N1536" i="1"/>
  <c r="O1536" i="1"/>
  <c r="Q1536" i="1"/>
  <c r="R1536" i="1"/>
  <c r="S1536" i="1"/>
  <c r="T1536" i="1"/>
  <c r="U1536" i="1"/>
  <c r="A1537" i="1"/>
  <c r="B1537" i="1"/>
  <c r="C1537" i="1"/>
  <c r="D1537" i="1"/>
  <c r="E1537" i="1"/>
  <c r="F1537" i="1"/>
  <c r="G1537" i="1"/>
  <c r="H1537" i="1"/>
  <c r="I1537" i="1"/>
  <c r="J1537" i="1"/>
  <c r="K1537" i="1"/>
  <c r="L1537" i="1"/>
  <c r="M1537" i="1"/>
  <c r="N1537" i="1"/>
  <c r="O1537" i="1"/>
  <c r="P1537" i="1"/>
  <c r="Q1537" i="1"/>
  <c r="R1537" i="1"/>
  <c r="S1537" i="1"/>
  <c r="T1537" i="1"/>
  <c r="U1537" i="1"/>
  <c r="A1538" i="1"/>
  <c r="B1538" i="1"/>
  <c r="C1538" i="1"/>
  <c r="D1538" i="1"/>
  <c r="E1538" i="1"/>
  <c r="F1538" i="1"/>
  <c r="G1538" i="1"/>
  <c r="H1538" i="1"/>
  <c r="I1538" i="1"/>
  <c r="J1538" i="1"/>
  <c r="K1538" i="1"/>
  <c r="L1538" i="1"/>
  <c r="M1538" i="1"/>
  <c r="N1538" i="1"/>
  <c r="O1538" i="1"/>
  <c r="P1538" i="1"/>
  <c r="Q1538" i="1"/>
  <c r="R1538" i="1"/>
  <c r="S1538" i="1"/>
  <c r="T1538" i="1"/>
  <c r="U1538" i="1"/>
  <c r="A1539" i="1"/>
  <c r="B1539" i="1"/>
  <c r="C1539" i="1"/>
  <c r="D1539" i="1"/>
  <c r="E1539" i="1"/>
  <c r="F1539" i="1"/>
  <c r="G1539" i="1"/>
  <c r="H1539" i="1"/>
  <c r="I1539" i="1"/>
  <c r="J1539" i="1"/>
  <c r="K1539" i="1"/>
  <c r="L1539" i="1"/>
  <c r="M1539" i="1"/>
  <c r="N1539" i="1"/>
  <c r="O1539" i="1"/>
  <c r="P1539" i="1"/>
  <c r="Q1539" i="1"/>
  <c r="R1539" i="1"/>
  <c r="S1539" i="1"/>
  <c r="T1539" i="1"/>
  <c r="U1539" i="1"/>
  <c r="A1410" i="1"/>
  <c r="B1410" i="1"/>
  <c r="C1410" i="1"/>
  <c r="D1410" i="1"/>
  <c r="E1410" i="1"/>
  <c r="F1410" i="1"/>
  <c r="G1410" i="1"/>
  <c r="H1410" i="1"/>
  <c r="I1410" i="1"/>
  <c r="J1410" i="1"/>
  <c r="K1410" i="1"/>
  <c r="L1410" i="1"/>
  <c r="M1410" i="1"/>
  <c r="N1410" i="1"/>
  <c r="O1410" i="1"/>
  <c r="P1410" i="1"/>
  <c r="Q1410" i="1"/>
  <c r="R1410" i="1"/>
  <c r="S1410" i="1"/>
  <c r="T1410" i="1"/>
  <c r="U1410" i="1"/>
  <c r="A1411" i="1"/>
  <c r="B1411" i="1"/>
  <c r="C1411" i="1"/>
  <c r="D1411" i="1"/>
  <c r="E1411" i="1"/>
  <c r="F1411" i="1"/>
  <c r="G1411" i="1"/>
  <c r="H1411" i="1"/>
  <c r="I1411" i="1"/>
  <c r="J1411" i="1"/>
  <c r="K1411" i="1"/>
  <c r="L1411" i="1"/>
  <c r="M1411" i="1"/>
  <c r="N1411" i="1"/>
  <c r="O1411" i="1"/>
  <c r="P1411" i="1"/>
  <c r="Q1411" i="1"/>
  <c r="R1411" i="1"/>
  <c r="S1411" i="1"/>
  <c r="T1411" i="1"/>
  <c r="U1411" i="1"/>
  <c r="A1412" i="1"/>
  <c r="B1412" i="1"/>
  <c r="C1412" i="1"/>
  <c r="D1412" i="1"/>
  <c r="E1412" i="1"/>
  <c r="F1412" i="1"/>
  <c r="G1412" i="1"/>
  <c r="H1412" i="1"/>
  <c r="I1412" i="1"/>
  <c r="J1412" i="1"/>
  <c r="K1412" i="1"/>
  <c r="L1412" i="1"/>
  <c r="M1412" i="1"/>
  <c r="N1412" i="1"/>
  <c r="O1412" i="1"/>
  <c r="P1412" i="1"/>
  <c r="Q1412" i="1"/>
  <c r="R1412" i="1"/>
  <c r="S1412" i="1"/>
  <c r="T1412" i="1"/>
  <c r="U1412" i="1"/>
  <c r="A1413" i="1"/>
  <c r="B1413" i="1"/>
  <c r="C1413" i="1"/>
  <c r="D1413" i="1"/>
  <c r="E1413" i="1"/>
  <c r="F1413" i="1"/>
  <c r="G1413" i="1"/>
  <c r="H1413" i="1"/>
  <c r="I1413" i="1"/>
  <c r="J1413" i="1"/>
  <c r="K1413" i="1"/>
  <c r="L1413" i="1"/>
  <c r="M1413" i="1"/>
  <c r="N1413" i="1"/>
  <c r="O1413" i="1"/>
  <c r="P1413" i="1"/>
  <c r="Q1413" i="1"/>
  <c r="R1413" i="1"/>
  <c r="S1413" i="1"/>
  <c r="T1413" i="1"/>
  <c r="U1413" i="1"/>
  <c r="A1414" i="1"/>
  <c r="B1414" i="1"/>
  <c r="C1414" i="1"/>
  <c r="D1414" i="1"/>
  <c r="E1414" i="1"/>
  <c r="F1414" i="1"/>
  <c r="G1414" i="1"/>
  <c r="H1414" i="1"/>
  <c r="I1414" i="1"/>
  <c r="J1414" i="1"/>
  <c r="K1414" i="1"/>
  <c r="L1414" i="1"/>
  <c r="M1414" i="1"/>
  <c r="N1414" i="1"/>
  <c r="O1414" i="1"/>
  <c r="P1414" i="1"/>
  <c r="Q1414" i="1"/>
  <c r="R1414" i="1"/>
  <c r="S1414" i="1"/>
  <c r="T1414" i="1"/>
  <c r="U1414" i="1"/>
  <c r="A1415" i="1"/>
  <c r="B1415" i="1"/>
  <c r="C1415" i="1"/>
  <c r="D1415" i="1"/>
  <c r="E1415" i="1"/>
  <c r="F1415" i="1"/>
  <c r="G1415" i="1"/>
  <c r="H1415" i="1"/>
  <c r="I1415" i="1"/>
  <c r="J1415" i="1"/>
  <c r="K1415" i="1"/>
  <c r="L1415" i="1"/>
  <c r="M1415" i="1"/>
  <c r="N1415" i="1"/>
  <c r="O1415" i="1"/>
  <c r="P1415" i="1"/>
  <c r="Q1415" i="1"/>
  <c r="R1415" i="1"/>
  <c r="S1415" i="1"/>
  <c r="T1415" i="1"/>
  <c r="U1415" i="1"/>
  <c r="A1270" i="1"/>
  <c r="B1270" i="1"/>
  <c r="C1270" i="1"/>
  <c r="D1270" i="1"/>
  <c r="E1270" i="1"/>
  <c r="F1270" i="1"/>
  <c r="G1270" i="1"/>
  <c r="H1270" i="1"/>
  <c r="I1270" i="1"/>
  <c r="J1270" i="1"/>
  <c r="K1270" i="1"/>
  <c r="L1270" i="1"/>
  <c r="M1270" i="1"/>
  <c r="N1270" i="1"/>
  <c r="O1270" i="1"/>
  <c r="P1270" i="1"/>
  <c r="Q1270" i="1"/>
  <c r="R1270" i="1"/>
  <c r="S1270" i="1"/>
  <c r="T1270" i="1"/>
  <c r="U1270" i="1"/>
  <c r="A1120" i="1"/>
  <c r="B1120" i="1"/>
  <c r="C1120" i="1"/>
  <c r="D1120" i="1"/>
  <c r="E1120" i="1"/>
  <c r="F1120" i="1"/>
  <c r="G1120" i="1"/>
  <c r="H1120" i="1"/>
  <c r="I1120" i="1"/>
  <c r="J1120" i="1"/>
  <c r="K1120" i="1"/>
  <c r="L1120" i="1"/>
  <c r="M1120" i="1"/>
  <c r="N1120" i="1"/>
  <c r="O1120" i="1"/>
  <c r="P1120" i="1"/>
  <c r="Q1120" i="1"/>
  <c r="R1120" i="1"/>
  <c r="S1120" i="1"/>
  <c r="T1120" i="1"/>
  <c r="U1120" i="1"/>
  <c r="A1119" i="1"/>
  <c r="B1119" i="1"/>
  <c r="C1119" i="1"/>
  <c r="D1119" i="1"/>
  <c r="E1119" i="1"/>
  <c r="F1119" i="1"/>
  <c r="G1119" i="1"/>
  <c r="H1119" i="1"/>
  <c r="I1119" i="1"/>
  <c r="J1119" i="1"/>
  <c r="K1119" i="1"/>
  <c r="L1119" i="1"/>
  <c r="M1119" i="1"/>
  <c r="N1119" i="1"/>
  <c r="O1119" i="1"/>
  <c r="Q1119" i="1"/>
  <c r="R1119" i="1"/>
  <c r="S1119" i="1"/>
  <c r="T1119" i="1"/>
  <c r="U1119" i="1"/>
  <c r="A38" i="1"/>
  <c r="B38" i="1"/>
  <c r="C38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A39" i="1"/>
  <c r="B39" i="1"/>
  <c r="C39" i="1"/>
  <c r="D39" i="1"/>
  <c r="E39" i="1"/>
  <c r="F39" i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U39" i="1"/>
  <c r="A1540" i="1"/>
  <c r="B1540" i="1"/>
  <c r="C1540" i="1"/>
  <c r="D1540" i="1"/>
  <c r="E1540" i="1"/>
  <c r="F1540" i="1"/>
  <c r="G1540" i="1"/>
  <c r="H1540" i="1"/>
  <c r="I1540" i="1"/>
  <c r="J1540" i="1"/>
  <c r="K1540" i="1"/>
  <c r="L1540" i="1"/>
  <c r="M1540" i="1"/>
  <c r="N1540" i="1"/>
  <c r="O1540" i="1"/>
  <c r="P1540" i="1"/>
  <c r="Q1540" i="1"/>
  <c r="R1540" i="1"/>
  <c r="S1540" i="1"/>
  <c r="T1540" i="1"/>
  <c r="U1540" i="1"/>
  <c r="A1541" i="1"/>
  <c r="B1541" i="1"/>
  <c r="C1541" i="1"/>
  <c r="D1541" i="1"/>
  <c r="E1541" i="1"/>
  <c r="F1541" i="1"/>
  <c r="G1541" i="1"/>
  <c r="H1541" i="1"/>
  <c r="I1541" i="1"/>
  <c r="J1541" i="1"/>
  <c r="K1541" i="1"/>
  <c r="L1541" i="1"/>
  <c r="M1541" i="1"/>
  <c r="N1541" i="1"/>
  <c r="O1541" i="1"/>
  <c r="P1541" i="1"/>
  <c r="Q1541" i="1"/>
  <c r="R1541" i="1"/>
  <c r="S1541" i="1"/>
  <c r="T1541" i="1"/>
  <c r="U1541" i="1"/>
  <c r="A1419" i="1"/>
  <c r="B1419" i="1"/>
  <c r="C1419" i="1"/>
  <c r="D1419" i="1"/>
  <c r="E1419" i="1"/>
  <c r="F1419" i="1"/>
  <c r="G1419" i="1"/>
  <c r="H1419" i="1"/>
  <c r="I1419" i="1"/>
  <c r="J1419" i="1"/>
  <c r="K1419" i="1"/>
  <c r="M1419" i="1"/>
  <c r="N1419" i="1"/>
  <c r="O1419" i="1"/>
  <c r="P1419" i="1"/>
  <c r="Q1419" i="1"/>
  <c r="R1419" i="1"/>
  <c r="S1419" i="1"/>
  <c r="T1419" i="1"/>
  <c r="U1419" i="1"/>
  <c r="A1416" i="1"/>
  <c r="B1416" i="1"/>
  <c r="C1416" i="1"/>
  <c r="D1416" i="1"/>
  <c r="E1416" i="1"/>
  <c r="F1416" i="1"/>
  <c r="G1416" i="1"/>
  <c r="H1416" i="1"/>
  <c r="I1416" i="1"/>
  <c r="J1416" i="1"/>
  <c r="K1416" i="1"/>
  <c r="L1416" i="1"/>
  <c r="M1416" i="1"/>
  <c r="N1416" i="1"/>
  <c r="O1416" i="1"/>
  <c r="P1416" i="1"/>
  <c r="Q1416" i="1"/>
  <c r="R1416" i="1"/>
  <c r="S1416" i="1"/>
  <c r="T1416" i="1"/>
  <c r="U1416" i="1"/>
  <c r="A1417" i="1"/>
  <c r="B1417" i="1"/>
  <c r="C1417" i="1"/>
  <c r="D1417" i="1"/>
  <c r="E1417" i="1"/>
  <c r="F1417" i="1"/>
  <c r="G1417" i="1"/>
  <c r="H1417" i="1"/>
  <c r="I1417" i="1"/>
  <c r="J1417" i="1"/>
  <c r="K1417" i="1"/>
  <c r="L1417" i="1"/>
  <c r="M1417" i="1"/>
  <c r="N1417" i="1"/>
  <c r="O1417" i="1"/>
  <c r="P1417" i="1"/>
  <c r="Q1417" i="1"/>
  <c r="R1417" i="1"/>
  <c r="S1417" i="1"/>
  <c r="T1417" i="1"/>
  <c r="U1417" i="1"/>
  <c r="A1418" i="1"/>
  <c r="B1418" i="1"/>
  <c r="C1418" i="1"/>
  <c r="D1418" i="1"/>
  <c r="E1418" i="1"/>
  <c r="F1418" i="1"/>
  <c r="G1418" i="1"/>
  <c r="H1418" i="1"/>
  <c r="I1418" i="1"/>
  <c r="J1418" i="1"/>
  <c r="K1418" i="1"/>
  <c r="L1418" i="1"/>
  <c r="M1418" i="1"/>
  <c r="N1418" i="1"/>
  <c r="O1418" i="1"/>
  <c r="P1418" i="1"/>
  <c r="Q1418" i="1"/>
  <c r="R1418" i="1"/>
  <c r="S1418" i="1"/>
  <c r="T1418" i="1"/>
  <c r="U1418" i="1"/>
  <c r="A1040" i="1"/>
  <c r="B1040" i="1"/>
  <c r="C1040" i="1"/>
  <c r="D1040" i="1"/>
  <c r="E1040" i="1"/>
  <c r="F1040" i="1"/>
  <c r="G1040" i="1"/>
  <c r="H1040" i="1"/>
  <c r="I1040" i="1"/>
  <c r="J1040" i="1"/>
  <c r="K1040" i="1"/>
  <c r="L1040" i="1"/>
  <c r="M1040" i="1"/>
  <c r="N1040" i="1"/>
  <c r="O1040" i="1"/>
  <c r="P1040" i="1"/>
  <c r="Q1040" i="1"/>
  <c r="R1040" i="1"/>
  <c r="S1040" i="1"/>
  <c r="T1040" i="1"/>
  <c r="U1040" i="1"/>
  <c r="A1039" i="1"/>
  <c r="B1039" i="1"/>
  <c r="C1039" i="1"/>
  <c r="D1039" i="1"/>
  <c r="E1039" i="1"/>
  <c r="F1039" i="1"/>
  <c r="G1039" i="1"/>
  <c r="H1039" i="1"/>
  <c r="I1039" i="1"/>
  <c r="J1039" i="1"/>
  <c r="K1039" i="1"/>
  <c r="L1039" i="1"/>
  <c r="M1039" i="1"/>
  <c r="N1039" i="1"/>
  <c r="O1039" i="1"/>
  <c r="Q1039" i="1"/>
  <c r="R1039" i="1"/>
  <c r="S1039" i="1"/>
  <c r="T1039" i="1"/>
  <c r="U1039" i="1"/>
  <c r="A1041" i="1"/>
  <c r="B1041" i="1"/>
  <c r="C1041" i="1"/>
  <c r="D1041" i="1"/>
  <c r="E1041" i="1"/>
  <c r="F1041" i="1"/>
  <c r="G1041" i="1"/>
  <c r="H1041" i="1"/>
  <c r="I1041" i="1"/>
  <c r="J1041" i="1"/>
  <c r="K1041" i="1"/>
  <c r="L1041" i="1"/>
  <c r="M1041" i="1"/>
  <c r="N1041" i="1"/>
  <c r="O1041" i="1"/>
  <c r="P1041" i="1"/>
  <c r="Q1041" i="1"/>
  <c r="R1041" i="1"/>
  <c r="S1041" i="1"/>
  <c r="T1041" i="1"/>
  <c r="U1041" i="1"/>
  <c r="A1042" i="1"/>
  <c r="B1042" i="1"/>
  <c r="C1042" i="1"/>
  <c r="D1042" i="1"/>
  <c r="E1042" i="1"/>
  <c r="F1042" i="1"/>
  <c r="G1042" i="1"/>
  <c r="H1042" i="1"/>
  <c r="I1042" i="1"/>
  <c r="J1042" i="1"/>
  <c r="K1042" i="1"/>
  <c r="L1042" i="1"/>
  <c r="M1042" i="1"/>
  <c r="N1042" i="1"/>
  <c r="O1042" i="1"/>
  <c r="P1042" i="1"/>
  <c r="Q1042" i="1"/>
  <c r="R1042" i="1"/>
  <c r="S1042" i="1"/>
  <c r="T1042" i="1"/>
  <c r="U1042" i="1"/>
  <c r="A1043" i="1"/>
  <c r="B1043" i="1"/>
  <c r="C1043" i="1"/>
  <c r="D1043" i="1"/>
  <c r="E1043" i="1"/>
  <c r="F1043" i="1"/>
  <c r="G1043" i="1"/>
  <c r="H1043" i="1"/>
  <c r="I1043" i="1"/>
  <c r="J1043" i="1"/>
  <c r="K1043" i="1"/>
  <c r="L1043" i="1"/>
  <c r="M1043" i="1"/>
  <c r="N1043" i="1"/>
  <c r="O1043" i="1"/>
  <c r="P1043" i="1"/>
  <c r="Q1043" i="1"/>
  <c r="R1043" i="1"/>
  <c r="S1043" i="1"/>
  <c r="T1043" i="1"/>
  <c r="U1043" i="1"/>
  <c r="A1044" i="1"/>
  <c r="B1044" i="1"/>
  <c r="C1044" i="1"/>
  <c r="D1044" i="1"/>
  <c r="E1044" i="1"/>
  <c r="F1044" i="1"/>
  <c r="G1044" i="1"/>
  <c r="H1044" i="1"/>
  <c r="I1044" i="1"/>
  <c r="J1044" i="1"/>
  <c r="K1044" i="1"/>
  <c r="L1044" i="1"/>
  <c r="M1044" i="1"/>
  <c r="N1044" i="1"/>
  <c r="O1044" i="1"/>
  <c r="P1044" i="1"/>
  <c r="Q1044" i="1"/>
  <c r="R1044" i="1"/>
  <c r="S1044" i="1"/>
  <c r="T1044" i="1"/>
  <c r="U1044" i="1"/>
  <c r="A1045" i="1"/>
  <c r="B1045" i="1"/>
  <c r="C1045" i="1"/>
  <c r="D1045" i="1"/>
  <c r="E1045" i="1"/>
  <c r="F1045" i="1"/>
  <c r="G1045" i="1"/>
  <c r="H1045" i="1"/>
  <c r="I1045" i="1"/>
  <c r="J1045" i="1"/>
  <c r="K1045" i="1"/>
  <c r="L1045" i="1"/>
  <c r="M1045" i="1"/>
  <c r="N1045" i="1"/>
  <c r="O1045" i="1"/>
  <c r="P1045" i="1"/>
  <c r="Q1045" i="1"/>
  <c r="R1045" i="1"/>
  <c r="S1045" i="1"/>
  <c r="T1045" i="1"/>
  <c r="U1045" i="1"/>
  <c r="A1046" i="1"/>
  <c r="B1046" i="1"/>
  <c r="C1046" i="1"/>
  <c r="D1046" i="1"/>
  <c r="E1046" i="1"/>
  <c r="F1046" i="1"/>
  <c r="G1046" i="1"/>
  <c r="H1046" i="1"/>
  <c r="I1046" i="1"/>
  <c r="J1046" i="1"/>
  <c r="K1046" i="1"/>
  <c r="L1046" i="1"/>
  <c r="M1046" i="1"/>
  <c r="N1046" i="1"/>
  <c r="O1046" i="1"/>
  <c r="P1046" i="1"/>
  <c r="Q1046" i="1"/>
  <c r="R1046" i="1"/>
  <c r="S1046" i="1"/>
  <c r="T1046" i="1"/>
  <c r="U1046" i="1"/>
  <c r="A1047" i="1"/>
  <c r="B1047" i="1"/>
  <c r="C1047" i="1"/>
  <c r="D1047" i="1"/>
  <c r="E1047" i="1"/>
  <c r="F1047" i="1"/>
  <c r="G1047" i="1"/>
  <c r="H1047" i="1"/>
  <c r="I1047" i="1"/>
  <c r="J1047" i="1"/>
  <c r="K1047" i="1"/>
  <c r="L1047" i="1"/>
  <c r="M1047" i="1"/>
  <c r="N1047" i="1"/>
  <c r="O1047" i="1"/>
  <c r="P1047" i="1"/>
  <c r="Q1047" i="1"/>
  <c r="R1047" i="1"/>
  <c r="S1047" i="1"/>
  <c r="T1047" i="1"/>
  <c r="U1047" i="1"/>
  <c r="A970" i="1"/>
  <c r="B970" i="1"/>
  <c r="C970" i="1"/>
  <c r="D970" i="1"/>
  <c r="E970" i="1"/>
  <c r="F970" i="1"/>
  <c r="G970" i="1"/>
  <c r="H970" i="1"/>
  <c r="I970" i="1"/>
  <c r="J970" i="1"/>
  <c r="K970" i="1"/>
  <c r="L970" i="1"/>
  <c r="M970" i="1"/>
  <c r="N970" i="1"/>
  <c r="O970" i="1"/>
  <c r="P970" i="1"/>
  <c r="Q970" i="1"/>
  <c r="R970" i="1"/>
  <c r="S970" i="1"/>
  <c r="T970" i="1"/>
  <c r="U970" i="1"/>
  <c r="A969" i="1"/>
  <c r="B969" i="1"/>
  <c r="C969" i="1"/>
  <c r="D969" i="1"/>
  <c r="E969" i="1"/>
  <c r="F969" i="1"/>
  <c r="G969" i="1"/>
  <c r="H969" i="1"/>
  <c r="I969" i="1"/>
  <c r="J969" i="1"/>
  <c r="K969" i="1"/>
  <c r="L969" i="1"/>
  <c r="M969" i="1"/>
  <c r="N969" i="1"/>
  <c r="O969" i="1"/>
  <c r="Q969" i="1"/>
  <c r="R969" i="1"/>
  <c r="S969" i="1"/>
  <c r="T969" i="1"/>
  <c r="U969" i="1"/>
  <c r="A966" i="1"/>
  <c r="B966" i="1"/>
  <c r="C966" i="1"/>
  <c r="D966" i="1"/>
  <c r="E966" i="1"/>
  <c r="F966" i="1"/>
  <c r="G966" i="1"/>
  <c r="H966" i="1"/>
  <c r="I966" i="1"/>
  <c r="J966" i="1"/>
  <c r="K966" i="1"/>
  <c r="L966" i="1"/>
  <c r="M966" i="1"/>
  <c r="N966" i="1"/>
  <c r="O966" i="1"/>
  <c r="P966" i="1"/>
  <c r="Q966" i="1"/>
  <c r="R966" i="1"/>
  <c r="S966" i="1"/>
  <c r="T966" i="1"/>
  <c r="U966" i="1"/>
  <c r="A967" i="1"/>
  <c r="B967" i="1"/>
  <c r="C967" i="1"/>
  <c r="D967" i="1"/>
  <c r="E967" i="1"/>
  <c r="F967" i="1"/>
  <c r="G967" i="1"/>
  <c r="H967" i="1"/>
  <c r="I967" i="1"/>
  <c r="J967" i="1"/>
  <c r="K967" i="1"/>
  <c r="L967" i="1"/>
  <c r="M967" i="1"/>
  <c r="N967" i="1"/>
  <c r="O967" i="1"/>
  <c r="P967" i="1"/>
  <c r="Q967" i="1"/>
  <c r="R967" i="1"/>
  <c r="S967" i="1"/>
  <c r="T967" i="1"/>
  <c r="U967" i="1"/>
  <c r="A968" i="1"/>
  <c r="B968" i="1"/>
  <c r="C968" i="1"/>
  <c r="D968" i="1"/>
  <c r="E968" i="1"/>
  <c r="F968" i="1"/>
  <c r="G968" i="1"/>
  <c r="H968" i="1"/>
  <c r="I968" i="1"/>
  <c r="J968" i="1"/>
  <c r="K968" i="1"/>
  <c r="L968" i="1"/>
  <c r="M968" i="1"/>
  <c r="N968" i="1"/>
  <c r="O968" i="1"/>
  <c r="P968" i="1"/>
  <c r="Q968" i="1"/>
  <c r="R968" i="1"/>
  <c r="S968" i="1"/>
  <c r="T968" i="1"/>
  <c r="U968" i="1"/>
  <c r="A1902" i="1"/>
  <c r="B1902" i="1"/>
  <c r="C1902" i="1"/>
  <c r="D1902" i="1"/>
  <c r="E1902" i="1"/>
  <c r="F1902" i="1"/>
  <c r="G1902" i="1"/>
  <c r="H1902" i="1"/>
  <c r="I1902" i="1"/>
  <c r="J1902" i="1"/>
  <c r="K1902" i="1"/>
  <c r="M1902" i="1"/>
  <c r="N1902" i="1"/>
  <c r="O1902" i="1"/>
  <c r="P1902" i="1"/>
  <c r="Q1902" i="1"/>
  <c r="R1902" i="1"/>
  <c r="S1902" i="1"/>
  <c r="T1902" i="1"/>
  <c r="U1902" i="1"/>
  <c r="A965" i="1"/>
  <c r="B965" i="1"/>
  <c r="C965" i="1"/>
  <c r="D965" i="1"/>
  <c r="E965" i="1"/>
  <c r="F965" i="1"/>
  <c r="G965" i="1"/>
  <c r="H965" i="1"/>
  <c r="I965" i="1"/>
  <c r="J965" i="1"/>
  <c r="K965" i="1"/>
  <c r="M965" i="1"/>
  <c r="N965" i="1"/>
  <c r="O965" i="1"/>
  <c r="P965" i="1"/>
  <c r="Q965" i="1"/>
  <c r="R965" i="1"/>
  <c r="S965" i="1"/>
  <c r="T965" i="1"/>
  <c r="U965" i="1"/>
  <c r="A816" i="1"/>
  <c r="B816" i="1"/>
  <c r="C816" i="1"/>
  <c r="D816" i="1"/>
  <c r="E816" i="1"/>
  <c r="F816" i="1"/>
  <c r="G816" i="1"/>
  <c r="H816" i="1"/>
  <c r="I816" i="1"/>
  <c r="J816" i="1"/>
  <c r="K816" i="1"/>
  <c r="L816" i="1"/>
  <c r="M816" i="1"/>
  <c r="N816" i="1"/>
  <c r="O816" i="1"/>
  <c r="P816" i="1"/>
  <c r="Q816" i="1"/>
  <c r="R816" i="1"/>
  <c r="S816" i="1"/>
  <c r="T816" i="1"/>
  <c r="U816" i="1"/>
  <c r="A817" i="1"/>
  <c r="B817" i="1"/>
  <c r="C817" i="1"/>
  <c r="D817" i="1"/>
  <c r="E817" i="1"/>
  <c r="F817" i="1"/>
  <c r="G817" i="1"/>
  <c r="H817" i="1"/>
  <c r="I817" i="1"/>
  <c r="J817" i="1"/>
  <c r="K817" i="1"/>
  <c r="L817" i="1"/>
  <c r="M817" i="1"/>
  <c r="N817" i="1"/>
  <c r="O817" i="1"/>
  <c r="P817" i="1"/>
  <c r="Q817" i="1"/>
  <c r="R817" i="1"/>
  <c r="S817" i="1"/>
  <c r="T817" i="1"/>
  <c r="U817" i="1"/>
  <c r="A664" i="1"/>
  <c r="B664" i="1"/>
  <c r="C664" i="1"/>
  <c r="D664" i="1"/>
  <c r="E664" i="1"/>
  <c r="F664" i="1"/>
  <c r="G664" i="1"/>
  <c r="H664" i="1"/>
  <c r="I664" i="1"/>
  <c r="J664" i="1"/>
  <c r="K664" i="1"/>
  <c r="L664" i="1"/>
  <c r="M664" i="1"/>
  <c r="N664" i="1"/>
  <c r="O664" i="1"/>
  <c r="P664" i="1"/>
  <c r="Q664" i="1"/>
  <c r="R664" i="1"/>
  <c r="S664" i="1"/>
  <c r="T664" i="1"/>
  <c r="U664" i="1"/>
  <c r="A665" i="1"/>
  <c r="B665" i="1"/>
  <c r="C665" i="1"/>
  <c r="D665" i="1"/>
  <c r="E665" i="1"/>
  <c r="F665" i="1"/>
  <c r="G665" i="1"/>
  <c r="H665" i="1"/>
  <c r="I665" i="1"/>
  <c r="J665" i="1"/>
  <c r="K665" i="1"/>
  <c r="L665" i="1"/>
  <c r="M665" i="1"/>
  <c r="N665" i="1"/>
  <c r="O665" i="1"/>
  <c r="P665" i="1"/>
  <c r="Q665" i="1"/>
  <c r="R665" i="1"/>
  <c r="S665" i="1"/>
  <c r="T665" i="1"/>
  <c r="U665" i="1"/>
  <c r="A666" i="1"/>
  <c r="B666" i="1"/>
  <c r="C666" i="1"/>
  <c r="D666" i="1"/>
  <c r="E666" i="1"/>
  <c r="F666" i="1"/>
  <c r="G666" i="1"/>
  <c r="H666" i="1"/>
  <c r="I666" i="1"/>
  <c r="J666" i="1"/>
  <c r="K666" i="1"/>
  <c r="L666" i="1"/>
  <c r="M666" i="1"/>
  <c r="N666" i="1"/>
  <c r="O666" i="1"/>
  <c r="P666" i="1"/>
  <c r="Q666" i="1"/>
  <c r="R666" i="1"/>
  <c r="S666" i="1"/>
  <c r="T666" i="1"/>
  <c r="U666" i="1"/>
  <c r="A32" i="1"/>
  <c r="B32" i="1"/>
  <c r="C32" i="1"/>
  <c r="D32" i="1"/>
  <c r="E32" i="1"/>
  <c r="F32" i="1"/>
  <c r="G32" i="1"/>
  <c r="H32" i="1"/>
  <c r="I32" i="1"/>
  <c r="J32" i="1"/>
  <c r="K32" i="1"/>
  <c r="M32" i="1"/>
  <c r="N32" i="1"/>
  <c r="O32" i="1"/>
  <c r="P32" i="1"/>
  <c r="Q32" i="1"/>
  <c r="R32" i="1"/>
  <c r="S32" i="1"/>
  <c r="T32" i="1"/>
  <c r="U32" i="1"/>
  <c r="A815" i="1"/>
  <c r="B815" i="1"/>
  <c r="C815" i="1"/>
  <c r="D815" i="1"/>
  <c r="E815" i="1"/>
  <c r="F815" i="1"/>
  <c r="G815" i="1"/>
  <c r="H815" i="1"/>
  <c r="I815" i="1"/>
  <c r="J815" i="1"/>
  <c r="K815" i="1"/>
  <c r="L815" i="1"/>
  <c r="M815" i="1"/>
  <c r="N815" i="1"/>
  <c r="O815" i="1"/>
  <c r="Q815" i="1"/>
  <c r="R815" i="1"/>
  <c r="S815" i="1"/>
  <c r="T815" i="1"/>
  <c r="U815" i="1"/>
  <c r="A538" i="1"/>
  <c r="B538" i="1"/>
  <c r="C538" i="1"/>
  <c r="D538" i="1"/>
  <c r="E538" i="1"/>
  <c r="F538" i="1"/>
  <c r="G538" i="1"/>
  <c r="H538" i="1"/>
  <c r="I538" i="1"/>
  <c r="J538" i="1"/>
  <c r="K538" i="1"/>
  <c r="M538" i="1"/>
  <c r="N538" i="1"/>
  <c r="O538" i="1"/>
  <c r="P538" i="1"/>
  <c r="Q538" i="1"/>
  <c r="R538" i="1"/>
  <c r="S538" i="1"/>
  <c r="T538" i="1"/>
  <c r="U538" i="1"/>
  <c r="A482" i="1"/>
  <c r="B482" i="1"/>
  <c r="C482" i="1"/>
  <c r="D482" i="1"/>
  <c r="E482" i="1"/>
  <c r="F482" i="1"/>
  <c r="G482" i="1"/>
  <c r="H482" i="1"/>
  <c r="I482" i="1"/>
  <c r="J482" i="1"/>
  <c r="K482" i="1"/>
  <c r="L482" i="1"/>
  <c r="M482" i="1"/>
  <c r="N482" i="1"/>
  <c r="O482" i="1"/>
  <c r="P482" i="1"/>
  <c r="Q482" i="1"/>
  <c r="R482" i="1"/>
  <c r="S482" i="1"/>
  <c r="U482" i="1"/>
  <c r="A661" i="1"/>
  <c r="B661" i="1"/>
  <c r="C661" i="1"/>
  <c r="D661" i="1"/>
  <c r="E661" i="1"/>
  <c r="F661" i="1"/>
  <c r="G661" i="1"/>
  <c r="H661" i="1"/>
  <c r="I661" i="1"/>
  <c r="J661" i="1"/>
  <c r="K661" i="1"/>
  <c r="L661" i="1"/>
  <c r="M661" i="1"/>
  <c r="N661" i="1"/>
  <c r="O661" i="1"/>
  <c r="P661" i="1"/>
  <c r="Q661" i="1"/>
  <c r="R661" i="1"/>
  <c r="S661" i="1"/>
  <c r="T661" i="1"/>
  <c r="U661" i="1"/>
  <c r="A662" i="1"/>
  <c r="B662" i="1"/>
  <c r="C662" i="1"/>
  <c r="D662" i="1"/>
  <c r="E662" i="1"/>
  <c r="F662" i="1"/>
  <c r="G662" i="1"/>
  <c r="H662" i="1"/>
  <c r="I662" i="1"/>
  <c r="J662" i="1"/>
  <c r="K662" i="1"/>
  <c r="L662" i="1"/>
  <c r="M662" i="1"/>
  <c r="N662" i="1"/>
  <c r="O662" i="1"/>
  <c r="P662" i="1"/>
  <c r="Q662" i="1"/>
  <c r="R662" i="1"/>
  <c r="S662" i="1"/>
  <c r="T662" i="1"/>
  <c r="U662" i="1"/>
  <c r="A663" i="1"/>
  <c r="B663" i="1"/>
  <c r="C663" i="1"/>
  <c r="D663" i="1"/>
  <c r="E663" i="1"/>
  <c r="F663" i="1"/>
  <c r="G663" i="1"/>
  <c r="H663" i="1"/>
  <c r="I663" i="1"/>
  <c r="J663" i="1"/>
  <c r="K663" i="1"/>
  <c r="L663" i="1"/>
  <c r="M663" i="1"/>
  <c r="N663" i="1"/>
  <c r="O663" i="1"/>
  <c r="P663" i="1"/>
  <c r="Q663" i="1"/>
  <c r="R663" i="1"/>
  <c r="S663" i="1"/>
  <c r="T663" i="1"/>
  <c r="U663" i="1"/>
  <c r="A479" i="1"/>
  <c r="B479" i="1"/>
  <c r="C479" i="1"/>
  <c r="D479" i="1"/>
  <c r="E479" i="1"/>
  <c r="F479" i="1"/>
  <c r="G479" i="1"/>
  <c r="H479" i="1"/>
  <c r="I479" i="1"/>
  <c r="J479" i="1"/>
  <c r="K479" i="1"/>
  <c r="L479" i="1"/>
  <c r="M479" i="1"/>
  <c r="N479" i="1"/>
  <c r="O479" i="1"/>
  <c r="Q479" i="1"/>
  <c r="R479" i="1"/>
  <c r="S479" i="1"/>
  <c r="T479" i="1"/>
  <c r="U479" i="1"/>
  <c r="A481" i="1"/>
  <c r="B481" i="1"/>
  <c r="C481" i="1"/>
  <c r="D481" i="1"/>
  <c r="E481" i="1"/>
  <c r="F481" i="1"/>
  <c r="G481" i="1"/>
  <c r="H481" i="1"/>
  <c r="I481" i="1"/>
  <c r="J481" i="1"/>
  <c r="K481" i="1"/>
  <c r="L481" i="1"/>
  <c r="M481" i="1"/>
  <c r="N481" i="1"/>
  <c r="O481" i="1"/>
  <c r="P481" i="1"/>
  <c r="Q481" i="1"/>
  <c r="R481" i="1"/>
  <c r="S481" i="1"/>
  <c r="T481" i="1"/>
  <c r="U481" i="1"/>
  <c r="A480" i="1"/>
  <c r="B480" i="1"/>
  <c r="C480" i="1"/>
  <c r="D480" i="1"/>
  <c r="E480" i="1"/>
  <c r="F480" i="1"/>
  <c r="G480" i="1"/>
  <c r="H480" i="1"/>
  <c r="I480" i="1"/>
  <c r="J480" i="1"/>
  <c r="K480" i="1"/>
  <c r="L480" i="1"/>
  <c r="M480" i="1"/>
  <c r="N480" i="1"/>
  <c r="O480" i="1"/>
  <c r="P480" i="1"/>
  <c r="Q480" i="1"/>
  <c r="R480" i="1"/>
  <c r="S480" i="1"/>
  <c r="T480" i="1"/>
  <c r="U480" i="1"/>
  <c r="A407" i="1"/>
  <c r="B407" i="1"/>
  <c r="C407" i="1"/>
  <c r="D407" i="1"/>
  <c r="E407" i="1"/>
  <c r="F407" i="1"/>
  <c r="G407" i="1"/>
  <c r="H407" i="1"/>
  <c r="I407" i="1"/>
  <c r="J407" i="1"/>
  <c r="K407" i="1"/>
  <c r="L407" i="1"/>
  <c r="M407" i="1"/>
  <c r="N407" i="1"/>
  <c r="O407" i="1"/>
  <c r="P407" i="1"/>
  <c r="Q407" i="1"/>
  <c r="R407" i="1"/>
  <c r="S407" i="1"/>
  <c r="T407" i="1"/>
  <c r="U407" i="1"/>
  <c r="A406" i="1"/>
  <c r="B406" i="1"/>
  <c r="C406" i="1"/>
  <c r="D406" i="1"/>
  <c r="E406" i="1"/>
  <c r="F406" i="1"/>
  <c r="G406" i="1"/>
  <c r="H406" i="1"/>
  <c r="I406" i="1"/>
  <c r="J406" i="1"/>
  <c r="K406" i="1"/>
  <c r="L406" i="1"/>
  <c r="M406" i="1"/>
  <c r="N406" i="1"/>
  <c r="O406" i="1"/>
  <c r="P406" i="1"/>
  <c r="Q406" i="1"/>
  <c r="R406" i="1"/>
  <c r="S406" i="1"/>
  <c r="T406" i="1"/>
  <c r="U406" i="1"/>
  <c r="A537" i="1"/>
  <c r="B537" i="1"/>
  <c r="C537" i="1"/>
  <c r="D537" i="1"/>
  <c r="E537" i="1"/>
  <c r="F537" i="1"/>
  <c r="G537" i="1"/>
  <c r="H537" i="1"/>
  <c r="I537" i="1"/>
  <c r="J537" i="1"/>
  <c r="K537" i="1"/>
  <c r="L537" i="1"/>
  <c r="M537" i="1"/>
  <c r="N537" i="1"/>
  <c r="O537" i="1"/>
  <c r="P537" i="1"/>
  <c r="Q537" i="1"/>
  <c r="R537" i="1"/>
  <c r="S537" i="1"/>
  <c r="T537" i="1"/>
  <c r="U537" i="1"/>
  <c r="A405" i="1"/>
  <c r="B405" i="1"/>
  <c r="C405" i="1"/>
  <c r="D405" i="1"/>
  <c r="E405" i="1"/>
  <c r="F405" i="1"/>
  <c r="G405" i="1"/>
  <c r="H405" i="1"/>
  <c r="I405" i="1"/>
  <c r="J405" i="1"/>
  <c r="K405" i="1"/>
  <c r="M405" i="1"/>
  <c r="N405" i="1"/>
  <c r="O405" i="1"/>
  <c r="P405" i="1"/>
  <c r="Q405" i="1"/>
  <c r="R405" i="1"/>
  <c r="S405" i="1"/>
  <c r="T405" i="1"/>
  <c r="U405" i="1"/>
  <c r="A404" i="1"/>
  <c r="B404" i="1"/>
  <c r="C404" i="1"/>
  <c r="D404" i="1"/>
  <c r="E404" i="1"/>
  <c r="F404" i="1"/>
  <c r="G404" i="1"/>
  <c r="H404" i="1"/>
  <c r="I404" i="1"/>
  <c r="J404" i="1"/>
  <c r="K404" i="1"/>
  <c r="L404" i="1"/>
  <c r="M404" i="1"/>
  <c r="N404" i="1"/>
  <c r="O404" i="1"/>
  <c r="P404" i="1"/>
  <c r="Q404" i="1"/>
  <c r="R404" i="1"/>
  <c r="S404" i="1"/>
  <c r="T404" i="1"/>
  <c r="U404" i="1"/>
  <c r="A203" i="1"/>
  <c r="B203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O203" i="1"/>
  <c r="P203" i="1"/>
  <c r="Q203" i="1"/>
  <c r="R203" i="1"/>
  <c r="S203" i="1"/>
  <c r="T203" i="1"/>
  <c r="U203" i="1"/>
  <c r="A204" i="1"/>
  <c r="B204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O204" i="1"/>
  <c r="P204" i="1"/>
  <c r="Q204" i="1"/>
  <c r="R204" i="1"/>
  <c r="S204" i="1"/>
  <c r="T204" i="1"/>
  <c r="U204" i="1"/>
  <c r="A205" i="1"/>
  <c r="B205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O205" i="1"/>
  <c r="P205" i="1"/>
  <c r="Q205" i="1"/>
  <c r="R205" i="1"/>
  <c r="S205" i="1"/>
  <c r="T205" i="1"/>
  <c r="U205" i="1"/>
  <c r="A206" i="1"/>
  <c r="B206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O206" i="1"/>
  <c r="P206" i="1"/>
  <c r="Q206" i="1"/>
  <c r="R206" i="1"/>
  <c r="S206" i="1"/>
  <c r="T206" i="1"/>
  <c r="U206" i="1"/>
  <c r="A207" i="1"/>
  <c r="B207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O207" i="1"/>
  <c r="P207" i="1"/>
  <c r="Q207" i="1"/>
  <c r="R207" i="1"/>
  <c r="S207" i="1"/>
  <c r="T207" i="1"/>
  <c r="U207" i="1"/>
  <c r="A208" i="1"/>
  <c r="B208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O208" i="1"/>
  <c r="P208" i="1"/>
  <c r="Q208" i="1"/>
  <c r="R208" i="1"/>
  <c r="S208" i="1"/>
  <c r="T208" i="1"/>
  <c r="U208" i="1"/>
  <c r="A140" i="1"/>
  <c r="B140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O140" i="1"/>
  <c r="Q140" i="1"/>
  <c r="R140" i="1"/>
  <c r="S140" i="1"/>
  <c r="T140" i="1"/>
  <c r="U140" i="1"/>
  <c r="A141" i="1"/>
  <c r="B141" i="1"/>
  <c r="C141" i="1"/>
  <c r="D141" i="1"/>
  <c r="E141" i="1"/>
  <c r="F141" i="1"/>
  <c r="G141" i="1"/>
  <c r="H141" i="1"/>
  <c r="I141" i="1"/>
  <c r="J141" i="1"/>
  <c r="K141" i="1"/>
  <c r="M141" i="1"/>
  <c r="N141" i="1"/>
  <c r="O141" i="1"/>
  <c r="P141" i="1"/>
  <c r="Q141" i="1"/>
  <c r="R141" i="1"/>
  <c r="S141" i="1"/>
  <c r="T141" i="1"/>
  <c r="U141" i="1"/>
  <c r="A1899" i="1"/>
  <c r="B1899" i="1"/>
  <c r="C1899" i="1"/>
  <c r="D1899" i="1"/>
  <c r="E1899" i="1"/>
  <c r="F1899" i="1"/>
  <c r="G1899" i="1"/>
  <c r="H1899" i="1"/>
  <c r="I1899" i="1"/>
  <c r="J1899" i="1"/>
  <c r="K1899" i="1"/>
  <c r="L1899" i="1"/>
  <c r="M1899" i="1"/>
  <c r="N1899" i="1"/>
  <c r="O1899" i="1"/>
  <c r="P1899" i="1"/>
  <c r="Q1899" i="1"/>
  <c r="R1899" i="1"/>
  <c r="S1899" i="1"/>
  <c r="T1899" i="1"/>
  <c r="U1899" i="1"/>
  <c r="A1900" i="1"/>
  <c r="B1900" i="1"/>
  <c r="C1900" i="1"/>
  <c r="D1900" i="1"/>
  <c r="E1900" i="1"/>
  <c r="F1900" i="1"/>
  <c r="G1900" i="1"/>
  <c r="H1900" i="1"/>
  <c r="I1900" i="1"/>
  <c r="J1900" i="1"/>
  <c r="K1900" i="1"/>
  <c r="L1900" i="1"/>
  <c r="M1900" i="1"/>
  <c r="N1900" i="1"/>
  <c r="O1900" i="1"/>
  <c r="P1900" i="1"/>
  <c r="Q1900" i="1"/>
  <c r="R1900" i="1"/>
  <c r="S1900" i="1"/>
  <c r="T1900" i="1"/>
  <c r="U1900" i="1"/>
  <c r="A1901" i="1"/>
  <c r="B1901" i="1"/>
  <c r="C1901" i="1"/>
  <c r="D1901" i="1"/>
  <c r="E1901" i="1"/>
  <c r="F1901" i="1"/>
  <c r="G1901" i="1"/>
  <c r="H1901" i="1"/>
  <c r="I1901" i="1"/>
  <c r="J1901" i="1"/>
  <c r="K1901" i="1"/>
  <c r="L1901" i="1"/>
  <c r="M1901" i="1"/>
  <c r="N1901" i="1"/>
  <c r="O1901" i="1"/>
  <c r="P1901" i="1"/>
  <c r="Q1901" i="1"/>
  <c r="R1901" i="1"/>
  <c r="S1901" i="1"/>
  <c r="T1901" i="1"/>
  <c r="U1901" i="1"/>
  <c r="A1868" i="1"/>
  <c r="B1868" i="1"/>
  <c r="C1868" i="1"/>
  <c r="D1868" i="1"/>
  <c r="E1868" i="1"/>
  <c r="F1868" i="1"/>
  <c r="G1868" i="1"/>
  <c r="H1868" i="1"/>
  <c r="I1868" i="1"/>
  <c r="J1868" i="1"/>
  <c r="K1868" i="1"/>
  <c r="L1868" i="1"/>
  <c r="M1868" i="1"/>
  <c r="N1868" i="1"/>
  <c r="O1868" i="1"/>
  <c r="P1868" i="1"/>
  <c r="Q1868" i="1"/>
  <c r="R1868" i="1"/>
  <c r="S1868" i="1"/>
  <c r="U1868" i="1"/>
  <c r="A139" i="1"/>
  <c r="B139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A1736" i="1"/>
  <c r="B1736" i="1"/>
  <c r="C1736" i="1"/>
  <c r="D1736" i="1"/>
  <c r="E1736" i="1"/>
  <c r="F1736" i="1"/>
  <c r="G1736" i="1"/>
  <c r="H1736" i="1"/>
  <c r="I1736" i="1"/>
  <c r="J1736" i="1"/>
  <c r="K1736" i="1"/>
  <c r="L1736" i="1"/>
  <c r="M1736" i="1"/>
  <c r="N1736" i="1"/>
  <c r="O1736" i="1"/>
  <c r="Q1736" i="1"/>
  <c r="R1736" i="1"/>
  <c r="S1736" i="1"/>
  <c r="T1736" i="1"/>
  <c r="U1736" i="1"/>
  <c r="A1737" i="1"/>
  <c r="B1737" i="1"/>
  <c r="C1737" i="1"/>
  <c r="D1737" i="1"/>
  <c r="E1737" i="1"/>
  <c r="F1737" i="1"/>
  <c r="G1737" i="1"/>
  <c r="H1737" i="1"/>
  <c r="I1737" i="1"/>
  <c r="J1737" i="1"/>
  <c r="K1737" i="1"/>
  <c r="L1737" i="1"/>
  <c r="M1737" i="1"/>
  <c r="N1737" i="1"/>
  <c r="O1737" i="1"/>
  <c r="P1737" i="1"/>
  <c r="Q1737" i="1"/>
  <c r="R1737" i="1"/>
  <c r="S1737" i="1"/>
  <c r="T1737" i="1"/>
  <c r="U1737" i="1"/>
  <c r="A1738" i="1"/>
  <c r="B1738" i="1"/>
  <c r="C1738" i="1"/>
  <c r="D1738" i="1"/>
  <c r="E1738" i="1"/>
  <c r="F1738" i="1"/>
  <c r="G1738" i="1"/>
  <c r="H1738" i="1"/>
  <c r="I1738" i="1"/>
  <c r="J1738" i="1"/>
  <c r="K1738" i="1"/>
  <c r="L1738" i="1"/>
  <c r="M1738" i="1"/>
  <c r="N1738" i="1"/>
  <c r="O1738" i="1"/>
  <c r="P1738" i="1"/>
  <c r="Q1738" i="1"/>
  <c r="R1738" i="1"/>
  <c r="S1738" i="1"/>
  <c r="T1738" i="1"/>
  <c r="U1738" i="1"/>
  <c r="A1739" i="1"/>
  <c r="B1739" i="1"/>
  <c r="C1739" i="1"/>
  <c r="D1739" i="1"/>
  <c r="E1739" i="1"/>
  <c r="F1739" i="1"/>
  <c r="G1739" i="1"/>
  <c r="H1739" i="1"/>
  <c r="I1739" i="1"/>
  <c r="J1739" i="1"/>
  <c r="K1739" i="1"/>
  <c r="L1739" i="1"/>
  <c r="M1739" i="1"/>
  <c r="N1739" i="1"/>
  <c r="O1739" i="1"/>
  <c r="P1739" i="1"/>
  <c r="Q1739" i="1"/>
  <c r="R1739" i="1"/>
  <c r="S1739" i="1"/>
  <c r="T1739" i="1"/>
  <c r="U1739" i="1"/>
  <c r="A1610" i="1"/>
  <c r="B1610" i="1"/>
  <c r="C1610" i="1"/>
  <c r="D1610" i="1"/>
  <c r="E1610" i="1"/>
  <c r="F1610" i="1"/>
  <c r="G1610" i="1"/>
  <c r="H1610" i="1"/>
  <c r="I1610" i="1"/>
  <c r="J1610" i="1"/>
  <c r="K1610" i="1"/>
  <c r="L1610" i="1"/>
  <c r="M1610" i="1"/>
  <c r="N1610" i="1"/>
  <c r="O1610" i="1"/>
  <c r="P1610" i="1"/>
  <c r="Q1610" i="1"/>
  <c r="R1610" i="1"/>
  <c r="S1610" i="1"/>
  <c r="T1610" i="1"/>
  <c r="U1610" i="1"/>
  <c r="A1609" i="1"/>
  <c r="B1609" i="1"/>
  <c r="C1609" i="1"/>
  <c r="D1609" i="1"/>
  <c r="E1609" i="1"/>
  <c r="F1609" i="1"/>
  <c r="G1609" i="1"/>
  <c r="H1609" i="1"/>
  <c r="I1609" i="1"/>
  <c r="J1609" i="1"/>
  <c r="K1609" i="1"/>
  <c r="L1609" i="1"/>
  <c r="M1609" i="1"/>
  <c r="N1609" i="1"/>
  <c r="O1609" i="1"/>
  <c r="Q1609" i="1"/>
  <c r="R1609" i="1"/>
  <c r="S1609" i="1"/>
  <c r="T1609" i="1"/>
  <c r="U1609" i="1"/>
  <c r="A1608" i="1"/>
  <c r="B1608" i="1"/>
  <c r="C1608" i="1"/>
  <c r="D1608" i="1"/>
  <c r="E1608" i="1"/>
  <c r="F1608" i="1"/>
  <c r="G1608" i="1"/>
  <c r="H1608" i="1"/>
  <c r="I1608" i="1"/>
  <c r="J1608" i="1"/>
  <c r="K1608" i="1"/>
  <c r="L1608" i="1"/>
  <c r="M1608" i="1"/>
  <c r="N1608" i="1"/>
  <c r="O1608" i="1"/>
  <c r="P1608" i="1"/>
  <c r="Q1608" i="1"/>
  <c r="R1608" i="1"/>
  <c r="S1608" i="1"/>
  <c r="T1608" i="1"/>
  <c r="U1608" i="1"/>
  <c r="A1535" i="1"/>
  <c r="B1535" i="1"/>
  <c r="C1535" i="1"/>
  <c r="D1535" i="1"/>
  <c r="E1535" i="1"/>
  <c r="F1535" i="1"/>
  <c r="G1535" i="1"/>
  <c r="H1535" i="1"/>
  <c r="I1535" i="1"/>
  <c r="J1535" i="1"/>
  <c r="K1535" i="1"/>
  <c r="M1535" i="1"/>
  <c r="N1535" i="1"/>
  <c r="O1535" i="1"/>
  <c r="P1535" i="1"/>
  <c r="Q1535" i="1"/>
  <c r="R1535" i="1"/>
  <c r="S1535" i="1"/>
  <c r="T1535" i="1"/>
  <c r="U1535" i="1"/>
  <c r="A1533" i="1"/>
  <c r="B1533" i="1"/>
  <c r="C1533" i="1"/>
  <c r="D1533" i="1"/>
  <c r="E1533" i="1"/>
  <c r="F1533" i="1"/>
  <c r="G1533" i="1"/>
  <c r="H1533" i="1"/>
  <c r="I1533" i="1"/>
  <c r="J1533" i="1"/>
  <c r="K1533" i="1"/>
  <c r="L1533" i="1"/>
  <c r="M1533" i="1"/>
  <c r="N1533" i="1"/>
  <c r="O1533" i="1"/>
  <c r="P1533" i="1"/>
  <c r="Q1533" i="1"/>
  <c r="R1533" i="1"/>
  <c r="S1533" i="1"/>
  <c r="T1533" i="1"/>
  <c r="U1533" i="1"/>
  <c r="A1534" i="1"/>
  <c r="B1534" i="1"/>
  <c r="C1534" i="1"/>
  <c r="D1534" i="1"/>
  <c r="E1534" i="1"/>
  <c r="F1534" i="1"/>
  <c r="G1534" i="1"/>
  <c r="H1534" i="1"/>
  <c r="I1534" i="1"/>
  <c r="J1534" i="1"/>
  <c r="K1534" i="1"/>
  <c r="L1534" i="1"/>
  <c r="M1534" i="1"/>
  <c r="N1534" i="1"/>
  <c r="O1534" i="1"/>
  <c r="P1534" i="1"/>
  <c r="Q1534" i="1"/>
  <c r="R1534" i="1"/>
  <c r="S1534" i="1"/>
  <c r="T1534" i="1"/>
  <c r="U1534" i="1"/>
  <c r="A1484" i="1"/>
  <c r="B1484" i="1"/>
  <c r="C1484" i="1"/>
  <c r="D1484" i="1"/>
  <c r="E1484" i="1"/>
  <c r="F1484" i="1"/>
  <c r="G1484" i="1"/>
  <c r="H1484" i="1"/>
  <c r="I1484" i="1"/>
  <c r="J1484" i="1"/>
  <c r="K1484" i="1"/>
  <c r="L1484" i="1"/>
  <c r="M1484" i="1"/>
  <c r="N1484" i="1"/>
  <c r="O1484" i="1"/>
  <c r="P1484" i="1"/>
  <c r="Q1484" i="1"/>
  <c r="R1484" i="1"/>
  <c r="S1484" i="1"/>
  <c r="T1484" i="1"/>
  <c r="U1484" i="1"/>
  <c r="A1486" i="1"/>
  <c r="B1486" i="1"/>
  <c r="C1486" i="1"/>
  <c r="D1486" i="1"/>
  <c r="E1486" i="1"/>
  <c r="F1486" i="1"/>
  <c r="G1486" i="1"/>
  <c r="H1486" i="1"/>
  <c r="I1486" i="1"/>
  <c r="J1486" i="1"/>
  <c r="K1486" i="1"/>
  <c r="L1486" i="1"/>
  <c r="M1486" i="1"/>
  <c r="N1486" i="1"/>
  <c r="O1486" i="1"/>
  <c r="P1486" i="1"/>
  <c r="Q1486" i="1"/>
  <c r="R1486" i="1"/>
  <c r="S1486" i="1"/>
  <c r="T1486" i="1"/>
  <c r="U1486" i="1"/>
  <c r="A1485" i="1"/>
  <c r="B1485" i="1"/>
  <c r="C1485" i="1"/>
  <c r="D1485" i="1"/>
  <c r="E1485" i="1"/>
  <c r="F1485" i="1"/>
  <c r="G1485" i="1"/>
  <c r="H1485" i="1"/>
  <c r="I1485" i="1"/>
  <c r="J1485" i="1"/>
  <c r="K1485" i="1"/>
  <c r="L1485" i="1"/>
  <c r="M1485" i="1"/>
  <c r="N1485" i="1"/>
  <c r="O1485" i="1"/>
  <c r="P1485" i="1"/>
  <c r="Q1485" i="1"/>
  <c r="R1485" i="1"/>
  <c r="S1485" i="1"/>
  <c r="T1485" i="1"/>
  <c r="U1485" i="1"/>
  <c r="A419" i="1"/>
  <c r="B419" i="1"/>
  <c r="C419" i="1"/>
  <c r="D419" i="1"/>
  <c r="E419" i="1"/>
  <c r="F419" i="1"/>
  <c r="G419" i="1"/>
  <c r="H419" i="1"/>
  <c r="I419" i="1"/>
  <c r="J419" i="1"/>
  <c r="K419" i="1"/>
  <c r="L419" i="1"/>
  <c r="M419" i="1"/>
  <c r="N419" i="1"/>
  <c r="O419" i="1"/>
  <c r="P419" i="1"/>
  <c r="Q419" i="1"/>
  <c r="R419" i="1"/>
  <c r="S419" i="1"/>
  <c r="U419" i="1"/>
  <c r="A1483" i="1"/>
  <c r="B1483" i="1"/>
  <c r="C1483" i="1"/>
  <c r="D1483" i="1"/>
  <c r="E1483" i="1"/>
  <c r="F1483" i="1"/>
  <c r="G1483" i="1"/>
  <c r="H1483" i="1"/>
  <c r="I1483" i="1"/>
  <c r="J1483" i="1"/>
  <c r="K1483" i="1"/>
  <c r="L1483" i="1"/>
  <c r="M1483" i="1"/>
  <c r="N1483" i="1"/>
  <c r="O1483" i="1"/>
  <c r="P1483" i="1"/>
  <c r="Q1483" i="1"/>
  <c r="R1483" i="1"/>
  <c r="S1483" i="1"/>
  <c r="T1483" i="1"/>
  <c r="U1483" i="1"/>
  <c r="A1482" i="1"/>
  <c r="B1482" i="1"/>
  <c r="C1482" i="1"/>
  <c r="D1482" i="1"/>
  <c r="E1482" i="1"/>
  <c r="F1482" i="1"/>
  <c r="G1482" i="1"/>
  <c r="H1482" i="1"/>
  <c r="I1482" i="1"/>
  <c r="J1482" i="1"/>
  <c r="K1482" i="1"/>
  <c r="L1482" i="1"/>
  <c r="M1482" i="1"/>
  <c r="N1482" i="1"/>
  <c r="O1482" i="1"/>
  <c r="Q1482" i="1"/>
  <c r="R1482" i="1"/>
  <c r="S1482" i="1"/>
  <c r="U1482" i="1"/>
  <c r="A1264" i="1"/>
  <c r="B1264" i="1"/>
  <c r="C1264" i="1"/>
  <c r="D1264" i="1"/>
  <c r="E1264" i="1"/>
  <c r="F1264" i="1"/>
  <c r="G1264" i="1"/>
  <c r="H1264" i="1"/>
  <c r="I1264" i="1"/>
  <c r="J1264" i="1"/>
  <c r="K1264" i="1"/>
  <c r="L1264" i="1"/>
  <c r="M1264" i="1"/>
  <c r="N1264" i="1"/>
  <c r="O1264" i="1"/>
  <c r="P1264" i="1"/>
  <c r="Q1264" i="1"/>
  <c r="R1264" i="1"/>
  <c r="S1264" i="1"/>
  <c r="T1264" i="1"/>
  <c r="U1264" i="1"/>
  <c r="A1265" i="1"/>
  <c r="B1265" i="1"/>
  <c r="C1265" i="1"/>
  <c r="D1265" i="1"/>
  <c r="E1265" i="1"/>
  <c r="F1265" i="1"/>
  <c r="G1265" i="1"/>
  <c r="H1265" i="1"/>
  <c r="I1265" i="1"/>
  <c r="J1265" i="1"/>
  <c r="K1265" i="1"/>
  <c r="L1265" i="1"/>
  <c r="M1265" i="1"/>
  <c r="N1265" i="1"/>
  <c r="O1265" i="1"/>
  <c r="P1265" i="1"/>
  <c r="Q1265" i="1"/>
  <c r="R1265" i="1"/>
  <c r="S1265" i="1"/>
  <c r="T1265" i="1"/>
  <c r="U1265" i="1"/>
  <c r="A1266" i="1"/>
  <c r="B1266" i="1"/>
  <c r="C1266" i="1"/>
  <c r="D1266" i="1"/>
  <c r="E1266" i="1"/>
  <c r="F1266" i="1"/>
  <c r="G1266" i="1"/>
  <c r="H1266" i="1"/>
  <c r="I1266" i="1"/>
  <c r="J1266" i="1"/>
  <c r="K1266" i="1"/>
  <c r="L1266" i="1"/>
  <c r="M1266" i="1"/>
  <c r="N1266" i="1"/>
  <c r="O1266" i="1"/>
  <c r="P1266" i="1"/>
  <c r="Q1266" i="1"/>
  <c r="R1266" i="1"/>
  <c r="S1266" i="1"/>
  <c r="T1266" i="1"/>
  <c r="U1266" i="1"/>
  <c r="A1267" i="1"/>
  <c r="B1267" i="1"/>
  <c r="C1267" i="1"/>
  <c r="D1267" i="1"/>
  <c r="E1267" i="1"/>
  <c r="F1267" i="1"/>
  <c r="G1267" i="1"/>
  <c r="H1267" i="1"/>
  <c r="I1267" i="1"/>
  <c r="J1267" i="1"/>
  <c r="K1267" i="1"/>
  <c r="L1267" i="1"/>
  <c r="M1267" i="1"/>
  <c r="N1267" i="1"/>
  <c r="O1267" i="1"/>
  <c r="P1267" i="1"/>
  <c r="Q1267" i="1"/>
  <c r="R1267" i="1"/>
  <c r="S1267" i="1"/>
  <c r="T1267" i="1"/>
  <c r="U1267" i="1"/>
  <c r="A1269" i="1"/>
  <c r="B1269" i="1"/>
  <c r="C1269" i="1"/>
  <c r="D1269" i="1"/>
  <c r="E1269" i="1"/>
  <c r="F1269" i="1"/>
  <c r="G1269" i="1"/>
  <c r="H1269" i="1"/>
  <c r="I1269" i="1"/>
  <c r="J1269" i="1"/>
  <c r="K1269" i="1"/>
  <c r="L1269" i="1"/>
  <c r="M1269" i="1"/>
  <c r="N1269" i="1"/>
  <c r="O1269" i="1"/>
  <c r="P1269" i="1"/>
  <c r="Q1269" i="1"/>
  <c r="R1269" i="1"/>
  <c r="S1269" i="1"/>
  <c r="T1269" i="1"/>
  <c r="U1269" i="1"/>
  <c r="A1268" i="1"/>
  <c r="B1268" i="1"/>
  <c r="C1268" i="1"/>
  <c r="D1268" i="1"/>
  <c r="E1268" i="1"/>
  <c r="F1268" i="1"/>
  <c r="G1268" i="1"/>
  <c r="H1268" i="1"/>
  <c r="I1268" i="1"/>
  <c r="J1268" i="1"/>
  <c r="K1268" i="1"/>
  <c r="L1268" i="1"/>
  <c r="M1268" i="1"/>
  <c r="N1268" i="1"/>
  <c r="O1268" i="1"/>
  <c r="P1268" i="1"/>
  <c r="Q1268" i="1"/>
  <c r="R1268" i="1"/>
  <c r="S1268" i="1"/>
  <c r="T1268" i="1"/>
  <c r="U1268" i="1"/>
  <c r="A1161" i="1"/>
  <c r="B1161" i="1"/>
  <c r="C1161" i="1"/>
  <c r="D1161" i="1"/>
  <c r="E1161" i="1"/>
  <c r="F1161" i="1"/>
  <c r="G1161" i="1"/>
  <c r="H1161" i="1"/>
  <c r="I1161" i="1"/>
  <c r="J1161" i="1"/>
  <c r="K1161" i="1"/>
  <c r="L1161" i="1"/>
  <c r="M1161" i="1"/>
  <c r="N1161" i="1"/>
  <c r="O1161" i="1"/>
  <c r="P1161" i="1"/>
  <c r="Q1161" i="1"/>
  <c r="R1161" i="1"/>
  <c r="S1161" i="1"/>
  <c r="T1161" i="1"/>
  <c r="U1161" i="1"/>
  <c r="A1160" i="1"/>
  <c r="B1160" i="1"/>
  <c r="C1160" i="1"/>
  <c r="D1160" i="1"/>
  <c r="E1160" i="1"/>
  <c r="F1160" i="1"/>
  <c r="G1160" i="1"/>
  <c r="H1160" i="1"/>
  <c r="I1160" i="1"/>
  <c r="J1160" i="1"/>
  <c r="K1160" i="1"/>
  <c r="L1160" i="1"/>
  <c r="M1160" i="1"/>
  <c r="N1160" i="1"/>
  <c r="O1160" i="1"/>
  <c r="P1160" i="1"/>
  <c r="Q1160" i="1"/>
  <c r="R1160" i="1"/>
  <c r="S1160" i="1"/>
  <c r="T1160" i="1"/>
  <c r="U1160" i="1"/>
  <c r="A1162" i="1"/>
  <c r="B1162" i="1"/>
  <c r="C1162" i="1"/>
  <c r="D1162" i="1"/>
  <c r="E1162" i="1"/>
  <c r="F1162" i="1"/>
  <c r="G1162" i="1"/>
  <c r="H1162" i="1"/>
  <c r="I1162" i="1"/>
  <c r="J1162" i="1"/>
  <c r="K1162" i="1"/>
  <c r="L1162" i="1"/>
  <c r="M1162" i="1"/>
  <c r="N1162" i="1"/>
  <c r="O1162" i="1"/>
  <c r="P1162" i="1"/>
  <c r="Q1162" i="1"/>
  <c r="R1162" i="1"/>
  <c r="S1162" i="1"/>
  <c r="U1162" i="1"/>
  <c r="A1159" i="1"/>
  <c r="B1159" i="1"/>
  <c r="C1159" i="1"/>
  <c r="D1159" i="1"/>
  <c r="E1159" i="1"/>
  <c r="F1159" i="1"/>
  <c r="G1159" i="1"/>
  <c r="H1159" i="1"/>
  <c r="I1159" i="1"/>
  <c r="J1159" i="1"/>
  <c r="K1159" i="1"/>
  <c r="L1159" i="1"/>
  <c r="M1159" i="1"/>
  <c r="N1159" i="1"/>
  <c r="O1159" i="1"/>
  <c r="P1159" i="1"/>
  <c r="Q1159" i="1"/>
  <c r="R1159" i="1"/>
  <c r="S1159" i="1"/>
  <c r="T1159" i="1"/>
  <c r="U1159" i="1"/>
  <c r="A1118" i="1"/>
  <c r="B1118" i="1"/>
  <c r="C1118" i="1"/>
  <c r="D1118" i="1"/>
  <c r="E1118" i="1"/>
  <c r="F1118" i="1"/>
  <c r="G1118" i="1"/>
  <c r="H1118" i="1"/>
  <c r="I1118" i="1"/>
  <c r="J1118" i="1"/>
  <c r="K1118" i="1"/>
  <c r="L1118" i="1"/>
  <c r="M1118" i="1"/>
  <c r="N1118" i="1"/>
  <c r="O1118" i="1"/>
  <c r="P1118" i="1"/>
  <c r="Q1118" i="1"/>
  <c r="R1118" i="1"/>
  <c r="S1118" i="1"/>
  <c r="T1118" i="1"/>
  <c r="U1118" i="1"/>
  <c r="A1030" i="1"/>
  <c r="B1030" i="1"/>
  <c r="C1030" i="1"/>
  <c r="D1030" i="1"/>
  <c r="E1030" i="1"/>
  <c r="F1030" i="1"/>
  <c r="G1030" i="1"/>
  <c r="H1030" i="1"/>
  <c r="I1030" i="1"/>
  <c r="J1030" i="1"/>
  <c r="K1030" i="1"/>
  <c r="L1030" i="1"/>
  <c r="M1030" i="1"/>
  <c r="N1030" i="1"/>
  <c r="O1030" i="1"/>
  <c r="P1030" i="1"/>
  <c r="Q1030" i="1"/>
  <c r="R1030" i="1"/>
  <c r="S1030" i="1"/>
  <c r="T1030" i="1"/>
  <c r="U1030" i="1"/>
  <c r="A1032" i="1"/>
  <c r="B1032" i="1"/>
  <c r="C1032" i="1"/>
  <c r="D1032" i="1"/>
  <c r="E1032" i="1"/>
  <c r="F1032" i="1"/>
  <c r="G1032" i="1"/>
  <c r="H1032" i="1"/>
  <c r="I1032" i="1"/>
  <c r="J1032" i="1"/>
  <c r="K1032" i="1"/>
  <c r="L1032" i="1"/>
  <c r="M1032" i="1"/>
  <c r="N1032" i="1"/>
  <c r="O1032" i="1"/>
  <c r="P1032" i="1"/>
  <c r="Q1032" i="1"/>
  <c r="R1032" i="1"/>
  <c r="S1032" i="1"/>
  <c r="T1032" i="1"/>
  <c r="U1032" i="1"/>
  <c r="A1031" i="1"/>
  <c r="B1031" i="1"/>
  <c r="C1031" i="1"/>
  <c r="D1031" i="1"/>
  <c r="E1031" i="1"/>
  <c r="F1031" i="1"/>
  <c r="G1031" i="1"/>
  <c r="H1031" i="1"/>
  <c r="I1031" i="1"/>
  <c r="J1031" i="1"/>
  <c r="K1031" i="1"/>
  <c r="L1031" i="1"/>
  <c r="M1031" i="1"/>
  <c r="N1031" i="1"/>
  <c r="O1031" i="1"/>
  <c r="P1031" i="1"/>
  <c r="Q1031" i="1"/>
  <c r="R1031" i="1"/>
  <c r="S1031" i="1"/>
  <c r="T1031" i="1"/>
  <c r="U1031" i="1"/>
  <c r="A769" i="1"/>
  <c r="B769" i="1"/>
  <c r="C769" i="1"/>
  <c r="D769" i="1"/>
  <c r="E769" i="1"/>
  <c r="F769" i="1"/>
  <c r="G769" i="1"/>
  <c r="H769" i="1"/>
  <c r="I769" i="1"/>
  <c r="J769" i="1"/>
  <c r="K769" i="1"/>
  <c r="L769" i="1"/>
  <c r="M769" i="1"/>
  <c r="N769" i="1"/>
  <c r="O769" i="1"/>
  <c r="P769" i="1"/>
  <c r="Q769" i="1"/>
  <c r="R769" i="1"/>
  <c r="S769" i="1"/>
  <c r="T769" i="1"/>
  <c r="U769" i="1"/>
  <c r="A811" i="1"/>
  <c r="B811" i="1"/>
  <c r="C811" i="1"/>
  <c r="D811" i="1"/>
  <c r="E811" i="1"/>
  <c r="F811" i="1"/>
  <c r="G811" i="1"/>
  <c r="H811" i="1"/>
  <c r="I811" i="1"/>
  <c r="J811" i="1"/>
  <c r="K811" i="1"/>
  <c r="L811" i="1"/>
  <c r="M811" i="1"/>
  <c r="N811" i="1"/>
  <c r="O811" i="1"/>
  <c r="P811" i="1"/>
  <c r="Q811" i="1"/>
  <c r="R811" i="1"/>
  <c r="S811" i="1"/>
  <c r="U811" i="1"/>
  <c r="A812" i="1"/>
  <c r="B812" i="1"/>
  <c r="C812" i="1"/>
  <c r="D812" i="1"/>
  <c r="E812" i="1"/>
  <c r="F812" i="1"/>
  <c r="G812" i="1"/>
  <c r="H812" i="1"/>
  <c r="I812" i="1"/>
  <c r="J812" i="1"/>
  <c r="K812" i="1"/>
  <c r="M812" i="1"/>
  <c r="N812" i="1"/>
  <c r="O812" i="1"/>
  <c r="P812" i="1"/>
  <c r="Q812" i="1"/>
  <c r="R812" i="1"/>
  <c r="S812" i="1"/>
  <c r="T812" i="1"/>
  <c r="U812" i="1"/>
  <c r="A813" i="1"/>
  <c r="B813" i="1"/>
  <c r="C813" i="1"/>
  <c r="D813" i="1"/>
  <c r="E813" i="1"/>
  <c r="F813" i="1"/>
  <c r="G813" i="1"/>
  <c r="H813" i="1"/>
  <c r="I813" i="1"/>
  <c r="J813" i="1"/>
  <c r="K813" i="1"/>
  <c r="L813" i="1"/>
  <c r="M813" i="1"/>
  <c r="N813" i="1"/>
  <c r="O813" i="1"/>
  <c r="P813" i="1"/>
  <c r="Q813" i="1"/>
  <c r="R813" i="1"/>
  <c r="S813" i="1"/>
  <c r="T813" i="1"/>
  <c r="U813" i="1"/>
  <c r="A814" i="1"/>
  <c r="B814" i="1"/>
  <c r="C814" i="1"/>
  <c r="D814" i="1"/>
  <c r="E814" i="1"/>
  <c r="F814" i="1"/>
  <c r="G814" i="1"/>
  <c r="H814" i="1"/>
  <c r="I814" i="1"/>
  <c r="J814" i="1"/>
  <c r="K814" i="1"/>
  <c r="L814" i="1"/>
  <c r="M814" i="1"/>
  <c r="N814" i="1"/>
  <c r="O814" i="1"/>
  <c r="P814" i="1"/>
  <c r="Q814" i="1"/>
  <c r="R814" i="1"/>
  <c r="S814" i="1"/>
  <c r="T814" i="1"/>
  <c r="U814" i="1"/>
  <c r="A768" i="1"/>
  <c r="B768" i="1"/>
  <c r="C768" i="1"/>
  <c r="D768" i="1"/>
  <c r="E768" i="1"/>
  <c r="F768" i="1"/>
  <c r="G768" i="1"/>
  <c r="H768" i="1"/>
  <c r="I768" i="1"/>
  <c r="J768" i="1"/>
  <c r="K768" i="1"/>
  <c r="L768" i="1"/>
  <c r="M768" i="1"/>
  <c r="N768" i="1"/>
  <c r="O768" i="1"/>
  <c r="P768" i="1"/>
  <c r="Q768" i="1"/>
  <c r="R768" i="1"/>
  <c r="S768" i="1"/>
  <c r="T768" i="1"/>
  <c r="U768" i="1"/>
  <c r="A766" i="1"/>
  <c r="B766" i="1"/>
  <c r="C766" i="1"/>
  <c r="D766" i="1"/>
  <c r="E766" i="1"/>
  <c r="F766" i="1"/>
  <c r="G766" i="1"/>
  <c r="H766" i="1"/>
  <c r="I766" i="1"/>
  <c r="J766" i="1"/>
  <c r="K766" i="1"/>
  <c r="L766" i="1"/>
  <c r="M766" i="1"/>
  <c r="N766" i="1"/>
  <c r="O766" i="1"/>
  <c r="P766" i="1"/>
  <c r="Q766" i="1"/>
  <c r="R766" i="1"/>
  <c r="S766" i="1"/>
  <c r="T766" i="1"/>
  <c r="U766" i="1"/>
  <c r="A765" i="1"/>
  <c r="B765" i="1"/>
  <c r="C765" i="1"/>
  <c r="D765" i="1"/>
  <c r="E765" i="1"/>
  <c r="F765" i="1"/>
  <c r="G765" i="1"/>
  <c r="H765" i="1"/>
  <c r="I765" i="1"/>
  <c r="J765" i="1"/>
  <c r="K765" i="1"/>
  <c r="L765" i="1"/>
  <c r="M765" i="1"/>
  <c r="N765" i="1"/>
  <c r="O765" i="1"/>
  <c r="Q765" i="1"/>
  <c r="R765" i="1"/>
  <c r="S765" i="1"/>
  <c r="T765" i="1"/>
  <c r="U765" i="1"/>
  <c r="A594" i="1"/>
  <c r="B594" i="1"/>
  <c r="C594" i="1"/>
  <c r="D594" i="1"/>
  <c r="E594" i="1"/>
  <c r="F594" i="1"/>
  <c r="G594" i="1"/>
  <c r="H594" i="1"/>
  <c r="I594" i="1"/>
  <c r="J594" i="1"/>
  <c r="K594" i="1"/>
  <c r="L594" i="1"/>
  <c r="M594" i="1"/>
  <c r="N594" i="1"/>
  <c r="O594" i="1"/>
  <c r="P594" i="1"/>
  <c r="Q594" i="1"/>
  <c r="R594" i="1"/>
  <c r="S594" i="1"/>
  <c r="T594" i="1"/>
  <c r="U594" i="1"/>
  <c r="A767" i="1"/>
  <c r="B767" i="1"/>
  <c r="C767" i="1"/>
  <c r="D767" i="1"/>
  <c r="E767" i="1"/>
  <c r="F767" i="1"/>
  <c r="G767" i="1"/>
  <c r="H767" i="1"/>
  <c r="I767" i="1"/>
  <c r="J767" i="1"/>
  <c r="K767" i="1"/>
  <c r="L767" i="1"/>
  <c r="M767" i="1"/>
  <c r="N767" i="1"/>
  <c r="O767" i="1"/>
  <c r="P767" i="1"/>
  <c r="Q767" i="1"/>
  <c r="R767" i="1"/>
  <c r="S767" i="1"/>
  <c r="U767" i="1"/>
  <c r="A727" i="1"/>
  <c r="B727" i="1"/>
  <c r="C727" i="1"/>
  <c r="D727" i="1"/>
  <c r="E727" i="1"/>
  <c r="F727" i="1"/>
  <c r="G727" i="1"/>
  <c r="H727" i="1"/>
  <c r="I727" i="1"/>
  <c r="J727" i="1"/>
  <c r="K727" i="1"/>
  <c r="L727" i="1"/>
  <c r="M727" i="1"/>
  <c r="N727" i="1"/>
  <c r="O727" i="1"/>
  <c r="P727" i="1"/>
  <c r="Q727" i="1"/>
  <c r="R727" i="1"/>
  <c r="S727" i="1"/>
  <c r="T727" i="1"/>
  <c r="U727" i="1"/>
  <c r="A725" i="1"/>
  <c r="B725" i="1"/>
  <c r="C725" i="1"/>
  <c r="D725" i="1"/>
  <c r="E725" i="1"/>
  <c r="F725" i="1"/>
  <c r="G725" i="1"/>
  <c r="H725" i="1"/>
  <c r="I725" i="1"/>
  <c r="J725" i="1"/>
  <c r="K725" i="1"/>
  <c r="L725" i="1"/>
  <c r="M725" i="1"/>
  <c r="N725" i="1"/>
  <c r="O725" i="1"/>
  <c r="P725" i="1"/>
  <c r="Q725" i="1"/>
  <c r="R725" i="1"/>
  <c r="S725" i="1"/>
  <c r="T725" i="1"/>
  <c r="U725" i="1"/>
  <c r="A726" i="1"/>
  <c r="B726" i="1"/>
  <c r="C726" i="1"/>
  <c r="D726" i="1"/>
  <c r="E726" i="1"/>
  <c r="F726" i="1"/>
  <c r="G726" i="1"/>
  <c r="H726" i="1"/>
  <c r="I726" i="1"/>
  <c r="J726" i="1"/>
  <c r="K726" i="1"/>
  <c r="L726" i="1"/>
  <c r="M726" i="1"/>
  <c r="N726" i="1"/>
  <c r="O726" i="1"/>
  <c r="P726" i="1"/>
  <c r="Q726" i="1"/>
  <c r="R726" i="1"/>
  <c r="S726" i="1"/>
  <c r="T726" i="1"/>
  <c r="U726" i="1"/>
  <c r="A593" i="1"/>
  <c r="B593" i="1"/>
  <c r="C593" i="1"/>
  <c r="D593" i="1"/>
  <c r="E593" i="1"/>
  <c r="F593" i="1"/>
  <c r="G593" i="1"/>
  <c r="H593" i="1"/>
  <c r="I593" i="1"/>
  <c r="J593" i="1"/>
  <c r="K593" i="1"/>
  <c r="L593" i="1"/>
  <c r="M593" i="1"/>
  <c r="N593" i="1"/>
  <c r="O593" i="1"/>
  <c r="P593" i="1"/>
  <c r="Q593" i="1"/>
  <c r="R593" i="1"/>
  <c r="S593" i="1"/>
  <c r="T593" i="1"/>
  <c r="U593" i="1"/>
  <c r="A398" i="1"/>
  <c r="B398" i="1"/>
  <c r="C398" i="1"/>
  <c r="D398" i="1"/>
  <c r="E398" i="1"/>
  <c r="F398" i="1"/>
  <c r="G398" i="1"/>
  <c r="H398" i="1"/>
  <c r="I398" i="1"/>
  <c r="J398" i="1"/>
  <c r="K398" i="1"/>
  <c r="L398" i="1"/>
  <c r="M398" i="1"/>
  <c r="N398" i="1"/>
  <c r="O398" i="1"/>
  <c r="Q398" i="1"/>
  <c r="R398" i="1"/>
  <c r="S398" i="1"/>
  <c r="T398" i="1"/>
  <c r="U398" i="1"/>
  <c r="A397" i="1"/>
  <c r="B397" i="1"/>
  <c r="C397" i="1"/>
  <c r="D397" i="1"/>
  <c r="E397" i="1"/>
  <c r="F397" i="1"/>
  <c r="G397" i="1"/>
  <c r="H397" i="1"/>
  <c r="I397" i="1"/>
  <c r="J397" i="1"/>
  <c r="K397" i="1"/>
  <c r="L397" i="1"/>
  <c r="M397" i="1"/>
  <c r="N397" i="1"/>
  <c r="O397" i="1"/>
  <c r="P397" i="1"/>
  <c r="Q397" i="1"/>
  <c r="R397" i="1"/>
  <c r="S397" i="1"/>
  <c r="T397" i="1"/>
  <c r="U397" i="1"/>
  <c r="A325" i="1"/>
  <c r="B325" i="1"/>
  <c r="C325" i="1"/>
  <c r="D325" i="1"/>
  <c r="E325" i="1"/>
  <c r="F325" i="1"/>
  <c r="G325" i="1"/>
  <c r="H325" i="1"/>
  <c r="I325" i="1"/>
  <c r="J325" i="1"/>
  <c r="K325" i="1"/>
  <c r="L325" i="1"/>
  <c r="M325" i="1"/>
  <c r="N325" i="1"/>
  <c r="O325" i="1"/>
  <c r="P325" i="1"/>
  <c r="Q325" i="1"/>
  <c r="R325" i="1"/>
  <c r="S325" i="1"/>
  <c r="T325" i="1"/>
  <c r="U325" i="1"/>
  <c r="A326" i="1"/>
  <c r="B326" i="1"/>
  <c r="C326" i="1"/>
  <c r="D326" i="1"/>
  <c r="E326" i="1"/>
  <c r="F326" i="1"/>
  <c r="G326" i="1"/>
  <c r="H326" i="1"/>
  <c r="I326" i="1"/>
  <c r="J326" i="1"/>
  <c r="K326" i="1"/>
  <c r="L326" i="1"/>
  <c r="M326" i="1"/>
  <c r="N326" i="1"/>
  <c r="O326" i="1"/>
  <c r="P326" i="1"/>
  <c r="Q326" i="1"/>
  <c r="R326" i="1"/>
  <c r="S326" i="1"/>
  <c r="T326" i="1"/>
  <c r="U326" i="1"/>
  <c r="A328" i="1"/>
  <c r="B328" i="1"/>
  <c r="C328" i="1"/>
  <c r="D328" i="1"/>
  <c r="E328" i="1"/>
  <c r="F328" i="1"/>
  <c r="G328" i="1"/>
  <c r="H328" i="1"/>
  <c r="I328" i="1"/>
  <c r="J328" i="1"/>
  <c r="K328" i="1"/>
  <c r="L328" i="1"/>
  <c r="M328" i="1"/>
  <c r="N328" i="1"/>
  <c r="O328" i="1"/>
  <c r="P328" i="1"/>
  <c r="Q328" i="1"/>
  <c r="R328" i="1"/>
  <c r="S328" i="1"/>
  <c r="T328" i="1"/>
  <c r="U328" i="1"/>
  <c r="A327" i="1"/>
  <c r="B327" i="1"/>
  <c r="C327" i="1"/>
  <c r="D327" i="1"/>
  <c r="E327" i="1"/>
  <c r="F327" i="1"/>
  <c r="G327" i="1"/>
  <c r="H327" i="1"/>
  <c r="I327" i="1"/>
  <c r="J327" i="1"/>
  <c r="K327" i="1"/>
  <c r="L327" i="1"/>
  <c r="M327" i="1"/>
  <c r="N327" i="1"/>
  <c r="O327" i="1"/>
  <c r="P327" i="1"/>
  <c r="Q327" i="1"/>
  <c r="R327" i="1"/>
  <c r="S327" i="1"/>
  <c r="T327" i="1"/>
  <c r="U327" i="1"/>
  <c r="A276" i="1"/>
  <c r="B276" i="1"/>
  <c r="C276" i="1"/>
  <c r="D276" i="1"/>
  <c r="E276" i="1"/>
  <c r="F276" i="1"/>
  <c r="G276" i="1"/>
  <c r="H276" i="1"/>
  <c r="I276" i="1"/>
  <c r="J276" i="1"/>
  <c r="K276" i="1"/>
  <c r="L276" i="1"/>
  <c r="M276" i="1"/>
  <c r="N276" i="1"/>
  <c r="O276" i="1"/>
  <c r="Q276" i="1"/>
  <c r="R276" i="1"/>
  <c r="S276" i="1"/>
  <c r="T276" i="1"/>
  <c r="U276" i="1"/>
  <c r="A202" i="1"/>
  <c r="B202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O202" i="1"/>
  <c r="P202" i="1"/>
  <c r="Q202" i="1"/>
  <c r="R202" i="1"/>
  <c r="S202" i="1"/>
  <c r="T202" i="1"/>
  <c r="U202" i="1"/>
  <c r="A133" i="1"/>
  <c r="B133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O133" i="1"/>
  <c r="P133" i="1"/>
  <c r="Q133" i="1"/>
  <c r="R133" i="1"/>
  <c r="S133" i="1"/>
  <c r="T133" i="1"/>
  <c r="U133" i="1"/>
  <c r="A1855" i="1"/>
  <c r="B1855" i="1"/>
  <c r="C1855" i="1"/>
  <c r="D1855" i="1"/>
  <c r="E1855" i="1"/>
  <c r="F1855" i="1"/>
  <c r="G1855" i="1"/>
  <c r="H1855" i="1"/>
  <c r="I1855" i="1"/>
  <c r="J1855" i="1"/>
  <c r="K1855" i="1"/>
  <c r="L1855" i="1"/>
  <c r="M1855" i="1"/>
  <c r="N1855" i="1"/>
  <c r="O1855" i="1"/>
  <c r="P1855" i="1"/>
  <c r="Q1855" i="1"/>
  <c r="R1855" i="1"/>
  <c r="S1855" i="1"/>
  <c r="T1855" i="1"/>
  <c r="U1855" i="1"/>
  <c r="A1857" i="1"/>
  <c r="B1857" i="1"/>
  <c r="C1857" i="1"/>
  <c r="D1857" i="1"/>
  <c r="E1857" i="1"/>
  <c r="F1857" i="1"/>
  <c r="G1857" i="1"/>
  <c r="H1857" i="1"/>
  <c r="I1857" i="1"/>
  <c r="J1857" i="1"/>
  <c r="K1857" i="1"/>
  <c r="L1857" i="1"/>
  <c r="M1857" i="1"/>
  <c r="N1857" i="1"/>
  <c r="O1857" i="1"/>
  <c r="P1857" i="1"/>
  <c r="Q1857" i="1"/>
  <c r="R1857" i="1"/>
  <c r="S1857" i="1"/>
  <c r="T1857" i="1"/>
  <c r="U1857" i="1"/>
  <c r="A1858" i="1"/>
  <c r="B1858" i="1"/>
  <c r="C1858" i="1"/>
  <c r="D1858" i="1"/>
  <c r="E1858" i="1"/>
  <c r="F1858" i="1"/>
  <c r="G1858" i="1"/>
  <c r="H1858" i="1"/>
  <c r="I1858" i="1"/>
  <c r="J1858" i="1"/>
  <c r="K1858" i="1"/>
  <c r="L1858" i="1"/>
  <c r="M1858" i="1"/>
  <c r="N1858" i="1"/>
  <c r="O1858" i="1"/>
  <c r="P1858" i="1"/>
  <c r="Q1858" i="1"/>
  <c r="R1858" i="1"/>
  <c r="S1858" i="1"/>
  <c r="T1858" i="1"/>
  <c r="U1858" i="1"/>
  <c r="A1805" i="1"/>
  <c r="B1805" i="1"/>
  <c r="C1805" i="1"/>
  <c r="D1805" i="1"/>
  <c r="E1805" i="1"/>
  <c r="F1805" i="1"/>
  <c r="G1805" i="1"/>
  <c r="H1805" i="1"/>
  <c r="I1805" i="1"/>
  <c r="J1805" i="1"/>
  <c r="K1805" i="1"/>
  <c r="L1805" i="1"/>
  <c r="M1805" i="1"/>
  <c r="N1805" i="1"/>
  <c r="O1805" i="1"/>
  <c r="P1805" i="1"/>
  <c r="Q1805" i="1"/>
  <c r="R1805" i="1"/>
  <c r="S1805" i="1"/>
  <c r="T1805" i="1"/>
  <c r="U1805" i="1"/>
  <c r="A1801" i="1"/>
  <c r="B1801" i="1"/>
  <c r="C1801" i="1"/>
  <c r="D1801" i="1"/>
  <c r="E1801" i="1"/>
  <c r="F1801" i="1"/>
  <c r="G1801" i="1"/>
  <c r="H1801" i="1"/>
  <c r="I1801" i="1"/>
  <c r="J1801" i="1"/>
  <c r="K1801" i="1"/>
  <c r="L1801" i="1"/>
  <c r="M1801" i="1"/>
  <c r="N1801" i="1"/>
  <c r="O1801" i="1"/>
  <c r="Q1801" i="1"/>
  <c r="R1801" i="1"/>
  <c r="S1801" i="1"/>
  <c r="U1801" i="1"/>
  <c r="A1802" i="1"/>
  <c r="B1802" i="1"/>
  <c r="C1802" i="1"/>
  <c r="D1802" i="1"/>
  <c r="E1802" i="1"/>
  <c r="F1802" i="1"/>
  <c r="G1802" i="1"/>
  <c r="H1802" i="1"/>
  <c r="I1802" i="1"/>
  <c r="J1802" i="1"/>
  <c r="K1802" i="1"/>
  <c r="L1802" i="1"/>
  <c r="M1802" i="1"/>
  <c r="N1802" i="1"/>
  <c r="O1802" i="1"/>
  <c r="P1802" i="1"/>
  <c r="Q1802" i="1"/>
  <c r="R1802" i="1"/>
  <c r="S1802" i="1"/>
  <c r="T1802" i="1"/>
  <c r="U1802" i="1"/>
  <c r="A1803" i="1"/>
  <c r="B1803" i="1"/>
  <c r="C1803" i="1"/>
  <c r="D1803" i="1"/>
  <c r="E1803" i="1"/>
  <c r="F1803" i="1"/>
  <c r="G1803" i="1"/>
  <c r="H1803" i="1"/>
  <c r="I1803" i="1"/>
  <c r="J1803" i="1"/>
  <c r="K1803" i="1"/>
  <c r="L1803" i="1"/>
  <c r="M1803" i="1"/>
  <c r="N1803" i="1"/>
  <c r="O1803" i="1"/>
  <c r="P1803" i="1"/>
  <c r="Q1803" i="1"/>
  <c r="R1803" i="1"/>
  <c r="S1803" i="1"/>
  <c r="T1803" i="1"/>
  <c r="U1803" i="1"/>
  <c r="A1804" i="1"/>
  <c r="B1804" i="1"/>
  <c r="C1804" i="1"/>
  <c r="D1804" i="1"/>
  <c r="E1804" i="1"/>
  <c r="F1804" i="1"/>
  <c r="G1804" i="1"/>
  <c r="H1804" i="1"/>
  <c r="I1804" i="1"/>
  <c r="J1804" i="1"/>
  <c r="K1804" i="1"/>
  <c r="L1804" i="1"/>
  <c r="M1804" i="1"/>
  <c r="N1804" i="1"/>
  <c r="O1804" i="1"/>
  <c r="P1804" i="1"/>
  <c r="Q1804" i="1"/>
  <c r="R1804" i="1"/>
  <c r="S1804" i="1"/>
  <c r="T1804" i="1"/>
  <c r="U1804" i="1"/>
  <c r="A1800" i="1"/>
  <c r="B1800" i="1"/>
  <c r="C1800" i="1"/>
  <c r="D1800" i="1"/>
  <c r="E1800" i="1"/>
  <c r="F1800" i="1"/>
  <c r="G1800" i="1"/>
  <c r="H1800" i="1"/>
  <c r="I1800" i="1"/>
  <c r="J1800" i="1"/>
  <c r="K1800" i="1"/>
  <c r="L1800" i="1"/>
  <c r="M1800" i="1"/>
  <c r="N1800" i="1"/>
  <c r="O1800" i="1"/>
  <c r="P1800" i="1"/>
  <c r="Q1800" i="1"/>
  <c r="R1800" i="1"/>
  <c r="S1800" i="1"/>
  <c r="T1800" i="1"/>
  <c r="U1800" i="1"/>
  <c r="A1731" i="1"/>
  <c r="B1731" i="1"/>
  <c r="C1731" i="1"/>
  <c r="D1731" i="1"/>
  <c r="E1731" i="1"/>
  <c r="F1731" i="1"/>
  <c r="G1731" i="1"/>
  <c r="H1731" i="1"/>
  <c r="I1731" i="1"/>
  <c r="J1731" i="1"/>
  <c r="K1731" i="1"/>
  <c r="L1731" i="1"/>
  <c r="M1731" i="1"/>
  <c r="N1731" i="1"/>
  <c r="O1731" i="1"/>
  <c r="P1731" i="1"/>
  <c r="Q1731" i="1"/>
  <c r="R1731" i="1"/>
  <c r="S1731" i="1"/>
  <c r="T1731" i="1"/>
  <c r="U1731" i="1"/>
  <c r="A1734" i="1"/>
  <c r="B1734" i="1"/>
  <c r="C1734" i="1"/>
  <c r="D1734" i="1"/>
  <c r="E1734" i="1"/>
  <c r="F1734" i="1"/>
  <c r="G1734" i="1"/>
  <c r="H1734" i="1"/>
  <c r="I1734" i="1"/>
  <c r="J1734" i="1"/>
  <c r="K1734" i="1"/>
  <c r="L1734" i="1"/>
  <c r="M1734" i="1"/>
  <c r="N1734" i="1"/>
  <c r="O1734" i="1"/>
  <c r="P1734" i="1"/>
  <c r="Q1734" i="1"/>
  <c r="R1734" i="1"/>
  <c r="S1734" i="1"/>
  <c r="T1734" i="1"/>
  <c r="U1734" i="1"/>
  <c r="A1732" i="1"/>
  <c r="B1732" i="1"/>
  <c r="C1732" i="1"/>
  <c r="D1732" i="1"/>
  <c r="E1732" i="1"/>
  <c r="F1732" i="1"/>
  <c r="G1732" i="1"/>
  <c r="H1732" i="1"/>
  <c r="I1732" i="1"/>
  <c r="J1732" i="1"/>
  <c r="K1732" i="1"/>
  <c r="L1732" i="1"/>
  <c r="M1732" i="1"/>
  <c r="N1732" i="1"/>
  <c r="O1732" i="1"/>
  <c r="P1732" i="1"/>
  <c r="Q1732" i="1"/>
  <c r="R1732" i="1"/>
  <c r="S1732" i="1"/>
  <c r="T1732" i="1"/>
  <c r="U1732" i="1"/>
  <c r="A1733" i="1"/>
  <c r="B1733" i="1"/>
  <c r="C1733" i="1"/>
  <c r="D1733" i="1"/>
  <c r="E1733" i="1"/>
  <c r="F1733" i="1"/>
  <c r="G1733" i="1"/>
  <c r="H1733" i="1"/>
  <c r="I1733" i="1"/>
  <c r="J1733" i="1"/>
  <c r="K1733" i="1"/>
  <c r="L1733" i="1"/>
  <c r="M1733" i="1"/>
  <c r="N1733" i="1"/>
  <c r="O1733" i="1"/>
  <c r="P1733" i="1"/>
  <c r="Q1733" i="1"/>
  <c r="R1733" i="1"/>
  <c r="S1733" i="1"/>
  <c r="T1733" i="1"/>
  <c r="U1733" i="1"/>
  <c r="A1665" i="1"/>
  <c r="B1665" i="1"/>
  <c r="C1665" i="1"/>
  <c r="D1665" i="1"/>
  <c r="E1665" i="1"/>
  <c r="F1665" i="1"/>
  <c r="G1665" i="1"/>
  <c r="H1665" i="1"/>
  <c r="I1665" i="1"/>
  <c r="J1665" i="1"/>
  <c r="K1665" i="1"/>
  <c r="L1665" i="1"/>
  <c r="M1665" i="1"/>
  <c r="N1665" i="1"/>
  <c r="O1665" i="1"/>
  <c r="P1665" i="1"/>
  <c r="Q1665" i="1"/>
  <c r="R1665" i="1"/>
  <c r="S1665" i="1"/>
  <c r="T1665" i="1"/>
  <c r="U1665" i="1"/>
  <c r="A1666" i="1"/>
  <c r="B1666" i="1"/>
  <c r="C1666" i="1"/>
  <c r="D1666" i="1"/>
  <c r="E1666" i="1"/>
  <c r="F1666" i="1"/>
  <c r="G1666" i="1"/>
  <c r="H1666" i="1"/>
  <c r="I1666" i="1"/>
  <c r="J1666" i="1"/>
  <c r="K1666" i="1"/>
  <c r="L1666" i="1"/>
  <c r="M1666" i="1"/>
  <c r="N1666" i="1"/>
  <c r="O1666" i="1"/>
  <c r="P1666" i="1"/>
  <c r="Q1666" i="1"/>
  <c r="R1666" i="1"/>
  <c r="S1666" i="1"/>
  <c r="T1666" i="1"/>
  <c r="U1666" i="1"/>
  <c r="A1663" i="1"/>
  <c r="B1663" i="1"/>
  <c r="C1663" i="1"/>
  <c r="D1663" i="1"/>
  <c r="E1663" i="1"/>
  <c r="F1663" i="1"/>
  <c r="G1663" i="1"/>
  <c r="H1663" i="1"/>
  <c r="I1663" i="1"/>
  <c r="J1663" i="1"/>
  <c r="K1663" i="1"/>
  <c r="L1663" i="1"/>
  <c r="M1663" i="1"/>
  <c r="N1663" i="1"/>
  <c r="O1663" i="1"/>
  <c r="P1663" i="1"/>
  <c r="Q1663" i="1"/>
  <c r="R1663" i="1"/>
  <c r="S1663" i="1"/>
  <c r="T1663" i="1"/>
  <c r="U1663" i="1"/>
  <c r="A1664" i="1"/>
  <c r="B1664" i="1"/>
  <c r="C1664" i="1"/>
  <c r="D1664" i="1"/>
  <c r="E1664" i="1"/>
  <c r="F1664" i="1"/>
  <c r="G1664" i="1"/>
  <c r="H1664" i="1"/>
  <c r="I1664" i="1"/>
  <c r="J1664" i="1"/>
  <c r="K1664" i="1"/>
  <c r="L1664" i="1"/>
  <c r="M1664" i="1"/>
  <c r="N1664" i="1"/>
  <c r="O1664" i="1"/>
  <c r="P1664" i="1"/>
  <c r="Q1664" i="1"/>
  <c r="R1664" i="1"/>
  <c r="S1664" i="1"/>
  <c r="T1664" i="1"/>
  <c r="U1664" i="1"/>
  <c r="A1600" i="1"/>
  <c r="B1600" i="1"/>
  <c r="C1600" i="1"/>
  <c r="D1600" i="1"/>
  <c r="E1600" i="1"/>
  <c r="F1600" i="1"/>
  <c r="G1600" i="1"/>
  <c r="H1600" i="1"/>
  <c r="I1600" i="1"/>
  <c r="J1600" i="1"/>
  <c r="K1600" i="1"/>
  <c r="L1600" i="1"/>
  <c r="M1600" i="1"/>
  <c r="N1600" i="1"/>
  <c r="O1600" i="1"/>
  <c r="P1600" i="1"/>
  <c r="Q1600" i="1"/>
  <c r="R1600" i="1"/>
  <c r="S1600" i="1"/>
  <c r="T1600" i="1"/>
  <c r="U1600" i="1"/>
  <c r="A1399" i="1"/>
  <c r="B1399" i="1"/>
  <c r="C1399" i="1"/>
  <c r="D1399" i="1"/>
  <c r="E1399" i="1"/>
  <c r="F1399" i="1"/>
  <c r="G1399" i="1"/>
  <c r="H1399" i="1"/>
  <c r="I1399" i="1"/>
  <c r="J1399" i="1"/>
  <c r="K1399" i="1"/>
  <c r="L1399" i="1"/>
  <c r="M1399" i="1"/>
  <c r="N1399" i="1"/>
  <c r="O1399" i="1"/>
  <c r="Q1399" i="1"/>
  <c r="R1399" i="1"/>
  <c r="S1399" i="1"/>
  <c r="T1399" i="1"/>
  <c r="U1399" i="1"/>
  <c r="A1401" i="1"/>
  <c r="B1401" i="1"/>
  <c r="C1401" i="1"/>
  <c r="D1401" i="1"/>
  <c r="E1401" i="1"/>
  <c r="F1401" i="1"/>
  <c r="G1401" i="1"/>
  <c r="H1401" i="1"/>
  <c r="I1401" i="1"/>
  <c r="J1401" i="1"/>
  <c r="K1401" i="1"/>
  <c r="L1401" i="1"/>
  <c r="M1401" i="1"/>
  <c r="N1401" i="1"/>
  <c r="O1401" i="1"/>
  <c r="P1401" i="1"/>
  <c r="Q1401" i="1"/>
  <c r="R1401" i="1"/>
  <c r="S1401" i="1"/>
  <c r="T1401" i="1"/>
  <c r="U1401" i="1"/>
  <c r="A1400" i="1"/>
  <c r="B1400" i="1"/>
  <c r="C1400" i="1"/>
  <c r="D1400" i="1"/>
  <c r="E1400" i="1"/>
  <c r="F1400" i="1"/>
  <c r="G1400" i="1"/>
  <c r="H1400" i="1"/>
  <c r="I1400" i="1"/>
  <c r="J1400" i="1"/>
  <c r="K1400" i="1"/>
  <c r="L1400" i="1"/>
  <c r="M1400" i="1"/>
  <c r="N1400" i="1"/>
  <c r="O1400" i="1"/>
  <c r="P1400" i="1"/>
  <c r="Q1400" i="1"/>
  <c r="R1400" i="1"/>
  <c r="S1400" i="1"/>
  <c r="T1400" i="1"/>
  <c r="U1400" i="1"/>
  <c r="A1193" i="1"/>
  <c r="B1193" i="1"/>
  <c r="C1193" i="1"/>
  <c r="D1193" i="1"/>
  <c r="E1193" i="1"/>
  <c r="F1193" i="1"/>
  <c r="G1193" i="1"/>
  <c r="H1193" i="1"/>
  <c r="I1193" i="1"/>
  <c r="J1193" i="1"/>
  <c r="K1193" i="1"/>
  <c r="L1193" i="1"/>
  <c r="M1193" i="1"/>
  <c r="N1193" i="1"/>
  <c r="O1193" i="1"/>
  <c r="P1193" i="1"/>
  <c r="Q1193" i="1"/>
  <c r="R1193" i="1"/>
  <c r="S1193" i="1"/>
  <c r="T1193" i="1"/>
  <c r="U1193" i="1"/>
  <c r="A1347" i="1"/>
  <c r="B1347" i="1"/>
  <c r="C1347" i="1"/>
  <c r="D1347" i="1"/>
  <c r="E1347" i="1"/>
  <c r="F1347" i="1"/>
  <c r="G1347" i="1"/>
  <c r="H1347" i="1"/>
  <c r="I1347" i="1"/>
  <c r="J1347" i="1"/>
  <c r="K1347" i="1"/>
  <c r="L1347" i="1"/>
  <c r="M1347" i="1"/>
  <c r="N1347" i="1"/>
  <c r="O1347" i="1"/>
  <c r="P1347" i="1"/>
  <c r="Q1347" i="1"/>
  <c r="R1347" i="1"/>
  <c r="S1347" i="1"/>
  <c r="T1347" i="1"/>
  <c r="U1347" i="1"/>
  <c r="A1348" i="1"/>
  <c r="B1348" i="1"/>
  <c r="C1348" i="1"/>
  <c r="D1348" i="1"/>
  <c r="E1348" i="1"/>
  <c r="F1348" i="1"/>
  <c r="G1348" i="1"/>
  <c r="H1348" i="1"/>
  <c r="I1348" i="1"/>
  <c r="J1348" i="1"/>
  <c r="K1348" i="1"/>
  <c r="L1348" i="1"/>
  <c r="M1348" i="1"/>
  <c r="N1348" i="1"/>
  <c r="O1348" i="1"/>
  <c r="P1348" i="1"/>
  <c r="Q1348" i="1"/>
  <c r="R1348" i="1"/>
  <c r="S1348" i="1"/>
  <c r="T1348" i="1"/>
  <c r="U1348" i="1"/>
  <c r="A1349" i="1"/>
  <c r="B1349" i="1"/>
  <c r="C1349" i="1"/>
  <c r="D1349" i="1"/>
  <c r="E1349" i="1"/>
  <c r="F1349" i="1"/>
  <c r="G1349" i="1"/>
  <c r="H1349" i="1"/>
  <c r="I1349" i="1"/>
  <c r="J1349" i="1"/>
  <c r="K1349" i="1"/>
  <c r="L1349" i="1"/>
  <c r="M1349" i="1"/>
  <c r="N1349" i="1"/>
  <c r="O1349" i="1"/>
  <c r="P1349" i="1"/>
  <c r="Q1349" i="1"/>
  <c r="R1349" i="1"/>
  <c r="S1349" i="1"/>
  <c r="T1349" i="1"/>
  <c r="U1349" i="1"/>
  <c r="A1345" i="1"/>
  <c r="B1345" i="1"/>
  <c r="C1345" i="1"/>
  <c r="D1345" i="1"/>
  <c r="E1345" i="1"/>
  <c r="F1345" i="1"/>
  <c r="G1345" i="1"/>
  <c r="H1345" i="1"/>
  <c r="I1345" i="1"/>
  <c r="J1345" i="1"/>
  <c r="K1345" i="1"/>
  <c r="L1345" i="1"/>
  <c r="M1345" i="1"/>
  <c r="N1345" i="1"/>
  <c r="O1345" i="1"/>
  <c r="P1345" i="1"/>
  <c r="Q1345" i="1"/>
  <c r="R1345" i="1"/>
  <c r="S1345" i="1"/>
  <c r="T1345" i="1"/>
  <c r="U1345" i="1"/>
  <c r="A1346" i="1"/>
  <c r="B1346" i="1"/>
  <c r="C1346" i="1"/>
  <c r="D1346" i="1"/>
  <c r="E1346" i="1"/>
  <c r="F1346" i="1"/>
  <c r="G1346" i="1"/>
  <c r="H1346" i="1"/>
  <c r="I1346" i="1"/>
  <c r="J1346" i="1"/>
  <c r="K1346" i="1"/>
  <c r="L1346" i="1"/>
  <c r="M1346" i="1"/>
  <c r="N1346" i="1"/>
  <c r="O1346" i="1"/>
  <c r="P1346" i="1"/>
  <c r="Q1346" i="1"/>
  <c r="R1346" i="1"/>
  <c r="S1346" i="1"/>
  <c r="T1346" i="1"/>
  <c r="U1346" i="1"/>
  <c r="A1263" i="1"/>
  <c r="B1263" i="1"/>
  <c r="C1263" i="1"/>
  <c r="D1263" i="1"/>
  <c r="E1263" i="1"/>
  <c r="F1263" i="1"/>
  <c r="G1263" i="1"/>
  <c r="H1263" i="1"/>
  <c r="I1263" i="1"/>
  <c r="J1263" i="1"/>
  <c r="K1263" i="1"/>
  <c r="L1263" i="1"/>
  <c r="M1263" i="1"/>
  <c r="N1263" i="1"/>
  <c r="O1263" i="1"/>
  <c r="P1263" i="1"/>
  <c r="Q1263" i="1"/>
  <c r="R1263" i="1"/>
  <c r="S1263" i="1"/>
  <c r="T1263" i="1"/>
  <c r="U1263" i="1"/>
  <c r="A1262" i="1"/>
  <c r="B1262" i="1"/>
  <c r="C1262" i="1"/>
  <c r="D1262" i="1"/>
  <c r="E1262" i="1"/>
  <c r="F1262" i="1"/>
  <c r="G1262" i="1"/>
  <c r="H1262" i="1"/>
  <c r="I1262" i="1"/>
  <c r="J1262" i="1"/>
  <c r="K1262" i="1"/>
  <c r="L1262" i="1"/>
  <c r="M1262" i="1"/>
  <c r="N1262" i="1"/>
  <c r="O1262" i="1"/>
  <c r="P1262" i="1"/>
  <c r="Q1262" i="1"/>
  <c r="R1262" i="1"/>
  <c r="S1262" i="1"/>
  <c r="T1262" i="1"/>
  <c r="U1262" i="1"/>
  <c r="A1191" i="1"/>
  <c r="B1191" i="1"/>
  <c r="C1191" i="1"/>
  <c r="D1191" i="1"/>
  <c r="E1191" i="1"/>
  <c r="F1191" i="1"/>
  <c r="G1191" i="1"/>
  <c r="H1191" i="1"/>
  <c r="I1191" i="1"/>
  <c r="J1191" i="1"/>
  <c r="K1191" i="1"/>
  <c r="L1191" i="1"/>
  <c r="M1191" i="1"/>
  <c r="N1191" i="1"/>
  <c r="O1191" i="1"/>
  <c r="P1191" i="1"/>
  <c r="Q1191" i="1"/>
  <c r="R1191" i="1"/>
  <c r="S1191" i="1"/>
  <c r="T1191" i="1"/>
  <c r="U1191" i="1"/>
  <c r="A1190" i="1"/>
  <c r="B1190" i="1"/>
  <c r="C1190" i="1"/>
  <c r="D1190" i="1"/>
  <c r="E1190" i="1"/>
  <c r="F1190" i="1"/>
  <c r="G1190" i="1"/>
  <c r="H1190" i="1"/>
  <c r="I1190" i="1"/>
  <c r="J1190" i="1"/>
  <c r="K1190" i="1"/>
  <c r="L1190" i="1"/>
  <c r="M1190" i="1"/>
  <c r="N1190" i="1"/>
  <c r="O1190" i="1"/>
  <c r="Q1190" i="1"/>
  <c r="R1190" i="1"/>
  <c r="S1190" i="1"/>
  <c r="T1190" i="1"/>
  <c r="U1190" i="1"/>
  <c r="A1192" i="1"/>
  <c r="B1192" i="1"/>
  <c r="C1192" i="1"/>
  <c r="D1192" i="1"/>
  <c r="E1192" i="1"/>
  <c r="F1192" i="1"/>
  <c r="G1192" i="1"/>
  <c r="H1192" i="1"/>
  <c r="I1192" i="1"/>
  <c r="J1192" i="1"/>
  <c r="K1192" i="1"/>
  <c r="L1192" i="1"/>
  <c r="M1192" i="1"/>
  <c r="N1192" i="1"/>
  <c r="O1192" i="1"/>
  <c r="P1192" i="1"/>
  <c r="Q1192" i="1"/>
  <c r="R1192" i="1"/>
  <c r="S1192" i="1"/>
  <c r="T1192" i="1"/>
  <c r="U1192" i="1"/>
  <c r="A1158" i="1"/>
  <c r="B1158" i="1"/>
  <c r="C1158" i="1"/>
  <c r="D1158" i="1"/>
  <c r="E1158" i="1"/>
  <c r="F1158" i="1"/>
  <c r="G1158" i="1"/>
  <c r="H1158" i="1"/>
  <c r="I1158" i="1"/>
  <c r="J1158" i="1"/>
  <c r="K1158" i="1"/>
  <c r="L1158" i="1"/>
  <c r="M1158" i="1"/>
  <c r="N1158" i="1"/>
  <c r="O1158" i="1"/>
  <c r="P1158" i="1"/>
  <c r="Q1158" i="1"/>
  <c r="R1158" i="1"/>
  <c r="S1158" i="1"/>
  <c r="T1158" i="1"/>
  <c r="U1158" i="1"/>
  <c r="A945" i="1"/>
  <c r="B945" i="1"/>
  <c r="C945" i="1"/>
  <c r="D945" i="1"/>
  <c r="E945" i="1"/>
  <c r="F945" i="1"/>
  <c r="G945" i="1"/>
  <c r="H945" i="1"/>
  <c r="I945" i="1"/>
  <c r="J945" i="1"/>
  <c r="K945" i="1"/>
  <c r="M945" i="1"/>
  <c r="N945" i="1"/>
  <c r="O945" i="1"/>
  <c r="P945" i="1"/>
  <c r="Q945" i="1"/>
  <c r="R945" i="1"/>
  <c r="S945" i="1"/>
  <c r="T945" i="1"/>
  <c r="U945" i="1"/>
  <c r="A947" i="1"/>
  <c r="B947" i="1"/>
  <c r="C947" i="1"/>
  <c r="D947" i="1"/>
  <c r="E947" i="1"/>
  <c r="F947" i="1"/>
  <c r="G947" i="1"/>
  <c r="H947" i="1"/>
  <c r="I947" i="1"/>
  <c r="J947" i="1"/>
  <c r="K947" i="1"/>
  <c r="L947" i="1"/>
  <c r="M947" i="1"/>
  <c r="N947" i="1"/>
  <c r="O947" i="1"/>
  <c r="P947" i="1"/>
  <c r="Q947" i="1"/>
  <c r="R947" i="1"/>
  <c r="S947" i="1"/>
  <c r="T947" i="1"/>
  <c r="U947" i="1"/>
  <c r="A946" i="1"/>
  <c r="B946" i="1"/>
  <c r="C946" i="1"/>
  <c r="D946" i="1"/>
  <c r="E946" i="1"/>
  <c r="F946" i="1"/>
  <c r="G946" i="1"/>
  <c r="H946" i="1"/>
  <c r="I946" i="1"/>
  <c r="J946" i="1"/>
  <c r="K946" i="1"/>
  <c r="L946" i="1"/>
  <c r="M946" i="1"/>
  <c r="N946" i="1"/>
  <c r="O946" i="1"/>
  <c r="P946" i="1"/>
  <c r="Q946" i="1"/>
  <c r="R946" i="1"/>
  <c r="S946" i="1"/>
  <c r="T946" i="1"/>
  <c r="U946" i="1"/>
  <c r="A892" i="1"/>
  <c r="B892" i="1"/>
  <c r="C892" i="1"/>
  <c r="D892" i="1"/>
  <c r="E892" i="1"/>
  <c r="F892" i="1"/>
  <c r="G892" i="1"/>
  <c r="H892" i="1"/>
  <c r="I892" i="1"/>
  <c r="J892" i="1"/>
  <c r="K892" i="1"/>
  <c r="L892" i="1"/>
  <c r="M892" i="1"/>
  <c r="N892" i="1"/>
  <c r="O892" i="1"/>
  <c r="P892" i="1"/>
  <c r="Q892" i="1"/>
  <c r="R892" i="1"/>
  <c r="S892" i="1"/>
  <c r="T892" i="1"/>
  <c r="U892" i="1"/>
  <c r="A891" i="1"/>
  <c r="B891" i="1"/>
  <c r="C891" i="1"/>
  <c r="D891" i="1"/>
  <c r="E891" i="1"/>
  <c r="F891" i="1"/>
  <c r="G891" i="1"/>
  <c r="H891" i="1"/>
  <c r="I891" i="1"/>
  <c r="J891" i="1"/>
  <c r="K891" i="1"/>
  <c r="L891" i="1"/>
  <c r="M891" i="1"/>
  <c r="N891" i="1"/>
  <c r="O891" i="1"/>
  <c r="P891" i="1"/>
  <c r="Q891" i="1"/>
  <c r="R891" i="1"/>
  <c r="S891" i="1"/>
  <c r="T891" i="1"/>
  <c r="U891" i="1"/>
  <c r="A893" i="1"/>
  <c r="B893" i="1"/>
  <c r="C893" i="1"/>
  <c r="D893" i="1"/>
  <c r="E893" i="1"/>
  <c r="F893" i="1"/>
  <c r="G893" i="1"/>
  <c r="H893" i="1"/>
  <c r="I893" i="1"/>
  <c r="J893" i="1"/>
  <c r="K893" i="1"/>
  <c r="L893" i="1"/>
  <c r="M893" i="1"/>
  <c r="N893" i="1"/>
  <c r="O893" i="1"/>
  <c r="P893" i="1"/>
  <c r="Q893" i="1"/>
  <c r="R893" i="1"/>
  <c r="S893" i="1"/>
  <c r="U893" i="1"/>
  <c r="A894" i="1"/>
  <c r="B894" i="1"/>
  <c r="C894" i="1"/>
  <c r="D894" i="1"/>
  <c r="E894" i="1"/>
  <c r="F894" i="1"/>
  <c r="G894" i="1"/>
  <c r="H894" i="1"/>
  <c r="I894" i="1"/>
  <c r="J894" i="1"/>
  <c r="K894" i="1"/>
  <c r="L894" i="1"/>
  <c r="M894" i="1"/>
  <c r="N894" i="1"/>
  <c r="O894" i="1"/>
  <c r="P894" i="1"/>
  <c r="Q894" i="1"/>
  <c r="R894" i="1"/>
  <c r="S894" i="1"/>
  <c r="U894" i="1"/>
  <c r="A807" i="1"/>
  <c r="B807" i="1"/>
  <c r="C807" i="1"/>
  <c r="D807" i="1"/>
  <c r="E807" i="1"/>
  <c r="F807" i="1"/>
  <c r="G807" i="1"/>
  <c r="H807" i="1"/>
  <c r="I807" i="1"/>
  <c r="J807" i="1"/>
  <c r="K807" i="1"/>
  <c r="L807" i="1"/>
  <c r="M807" i="1"/>
  <c r="N807" i="1"/>
  <c r="O807" i="1"/>
  <c r="P807" i="1"/>
  <c r="Q807" i="1"/>
  <c r="R807" i="1"/>
  <c r="S807" i="1"/>
  <c r="T807" i="1"/>
  <c r="U807" i="1"/>
  <c r="A806" i="1"/>
  <c r="B806" i="1"/>
  <c r="C806" i="1"/>
  <c r="D806" i="1"/>
  <c r="E806" i="1"/>
  <c r="F806" i="1"/>
  <c r="G806" i="1"/>
  <c r="H806" i="1"/>
  <c r="I806" i="1"/>
  <c r="J806" i="1"/>
  <c r="K806" i="1"/>
  <c r="L806" i="1"/>
  <c r="M806" i="1"/>
  <c r="N806" i="1"/>
  <c r="O806" i="1"/>
  <c r="Q806" i="1"/>
  <c r="R806" i="1"/>
  <c r="S806" i="1"/>
  <c r="T806" i="1"/>
  <c r="U806" i="1"/>
  <c r="A809" i="1"/>
  <c r="B809" i="1"/>
  <c r="C809" i="1"/>
  <c r="D809" i="1"/>
  <c r="E809" i="1"/>
  <c r="F809" i="1"/>
  <c r="G809" i="1"/>
  <c r="H809" i="1"/>
  <c r="I809" i="1"/>
  <c r="J809" i="1"/>
  <c r="K809" i="1"/>
  <c r="M809" i="1"/>
  <c r="N809" i="1"/>
  <c r="O809" i="1"/>
  <c r="P809" i="1"/>
  <c r="Q809" i="1"/>
  <c r="R809" i="1"/>
  <c r="S809" i="1"/>
  <c r="T809" i="1"/>
  <c r="U809" i="1"/>
  <c r="A808" i="1"/>
  <c r="B808" i="1"/>
  <c r="C808" i="1"/>
  <c r="D808" i="1"/>
  <c r="E808" i="1"/>
  <c r="F808" i="1"/>
  <c r="G808" i="1"/>
  <c r="H808" i="1"/>
  <c r="I808" i="1"/>
  <c r="J808" i="1"/>
  <c r="K808" i="1"/>
  <c r="L808" i="1"/>
  <c r="M808" i="1"/>
  <c r="N808" i="1"/>
  <c r="O808" i="1"/>
  <c r="P808" i="1"/>
  <c r="Q808" i="1"/>
  <c r="R808" i="1"/>
  <c r="S808" i="1"/>
  <c r="T808" i="1"/>
  <c r="U808" i="1"/>
  <c r="A760" i="1"/>
  <c r="B760" i="1"/>
  <c r="C760" i="1"/>
  <c r="D760" i="1"/>
  <c r="E760" i="1"/>
  <c r="F760" i="1"/>
  <c r="G760" i="1"/>
  <c r="H760" i="1"/>
  <c r="I760" i="1"/>
  <c r="J760" i="1"/>
  <c r="K760" i="1"/>
  <c r="L760" i="1"/>
  <c r="M760" i="1"/>
  <c r="N760" i="1"/>
  <c r="O760" i="1"/>
  <c r="P760" i="1"/>
  <c r="Q760" i="1"/>
  <c r="R760" i="1"/>
  <c r="S760" i="1"/>
  <c r="T760" i="1"/>
  <c r="U760" i="1"/>
  <c r="A757" i="1"/>
  <c r="B757" i="1"/>
  <c r="C757" i="1"/>
  <c r="D757" i="1"/>
  <c r="E757" i="1"/>
  <c r="F757" i="1"/>
  <c r="G757" i="1"/>
  <c r="H757" i="1"/>
  <c r="I757" i="1"/>
  <c r="J757" i="1"/>
  <c r="K757" i="1"/>
  <c r="L757" i="1"/>
  <c r="M757" i="1"/>
  <c r="N757" i="1"/>
  <c r="O757" i="1"/>
  <c r="P757" i="1"/>
  <c r="Q757" i="1"/>
  <c r="R757" i="1"/>
  <c r="S757" i="1"/>
  <c r="T757" i="1"/>
  <c r="U757" i="1"/>
  <c r="A758" i="1"/>
  <c r="B758" i="1"/>
  <c r="C758" i="1"/>
  <c r="D758" i="1"/>
  <c r="E758" i="1"/>
  <c r="F758" i="1"/>
  <c r="G758" i="1"/>
  <c r="H758" i="1"/>
  <c r="I758" i="1"/>
  <c r="J758" i="1"/>
  <c r="K758" i="1"/>
  <c r="L758" i="1"/>
  <c r="M758" i="1"/>
  <c r="N758" i="1"/>
  <c r="O758" i="1"/>
  <c r="P758" i="1"/>
  <c r="Q758" i="1"/>
  <c r="R758" i="1"/>
  <c r="S758" i="1"/>
  <c r="T758" i="1"/>
  <c r="U758" i="1"/>
  <c r="A759" i="1"/>
  <c r="B759" i="1"/>
  <c r="C759" i="1"/>
  <c r="D759" i="1"/>
  <c r="E759" i="1"/>
  <c r="F759" i="1"/>
  <c r="G759" i="1"/>
  <c r="H759" i="1"/>
  <c r="I759" i="1"/>
  <c r="J759" i="1"/>
  <c r="K759" i="1"/>
  <c r="L759" i="1"/>
  <c r="M759" i="1"/>
  <c r="N759" i="1"/>
  <c r="O759" i="1"/>
  <c r="P759" i="1"/>
  <c r="Q759" i="1"/>
  <c r="R759" i="1"/>
  <c r="S759" i="1"/>
  <c r="T759" i="1"/>
  <c r="U759" i="1"/>
  <c r="A753" i="1"/>
  <c r="B753" i="1"/>
  <c r="C753" i="1"/>
  <c r="D753" i="1"/>
  <c r="E753" i="1"/>
  <c r="F753" i="1"/>
  <c r="G753" i="1"/>
  <c r="H753" i="1"/>
  <c r="I753" i="1"/>
  <c r="J753" i="1"/>
  <c r="K753" i="1"/>
  <c r="L753" i="1"/>
  <c r="M753" i="1"/>
  <c r="N753" i="1"/>
  <c r="O753" i="1"/>
  <c r="P753" i="1"/>
  <c r="Q753" i="1"/>
  <c r="R753" i="1"/>
  <c r="S753" i="1"/>
  <c r="T753" i="1"/>
  <c r="U753" i="1"/>
  <c r="A754" i="1"/>
  <c r="B754" i="1"/>
  <c r="C754" i="1"/>
  <c r="D754" i="1"/>
  <c r="E754" i="1"/>
  <c r="F754" i="1"/>
  <c r="G754" i="1"/>
  <c r="H754" i="1"/>
  <c r="I754" i="1"/>
  <c r="J754" i="1"/>
  <c r="K754" i="1"/>
  <c r="L754" i="1"/>
  <c r="M754" i="1"/>
  <c r="N754" i="1"/>
  <c r="O754" i="1"/>
  <c r="P754" i="1"/>
  <c r="Q754" i="1"/>
  <c r="R754" i="1"/>
  <c r="S754" i="1"/>
  <c r="T754" i="1"/>
  <c r="U754" i="1"/>
  <c r="A755" i="1"/>
  <c r="B755" i="1"/>
  <c r="C755" i="1"/>
  <c r="D755" i="1"/>
  <c r="E755" i="1"/>
  <c r="F755" i="1"/>
  <c r="G755" i="1"/>
  <c r="H755" i="1"/>
  <c r="I755" i="1"/>
  <c r="J755" i="1"/>
  <c r="K755" i="1"/>
  <c r="L755" i="1"/>
  <c r="M755" i="1"/>
  <c r="N755" i="1"/>
  <c r="O755" i="1"/>
  <c r="P755" i="1"/>
  <c r="Q755" i="1"/>
  <c r="R755" i="1"/>
  <c r="S755" i="1"/>
  <c r="T755" i="1"/>
  <c r="U755" i="1"/>
  <c r="A756" i="1"/>
  <c r="B756" i="1"/>
  <c r="C756" i="1"/>
  <c r="D756" i="1"/>
  <c r="E756" i="1"/>
  <c r="F756" i="1"/>
  <c r="G756" i="1"/>
  <c r="H756" i="1"/>
  <c r="I756" i="1"/>
  <c r="J756" i="1"/>
  <c r="K756" i="1"/>
  <c r="L756" i="1"/>
  <c r="M756" i="1"/>
  <c r="N756" i="1"/>
  <c r="O756" i="1"/>
  <c r="P756" i="1"/>
  <c r="Q756" i="1"/>
  <c r="R756" i="1"/>
  <c r="S756" i="1"/>
  <c r="T756" i="1"/>
  <c r="U756" i="1"/>
  <c r="A722" i="1"/>
  <c r="B722" i="1"/>
  <c r="C722" i="1"/>
  <c r="D722" i="1"/>
  <c r="E722" i="1"/>
  <c r="F722" i="1"/>
  <c r="G722" i="1"/>
  <c r="H722" i="1"/>
  <c r="I722" i="1"/>
  <c r="J722" i="1"/>
  <c r="K722" i="1"/>
  <c r="L722" i="1"/>
  <c r="M722" i="1"/>
  <c r="N722" i="1"/>
  <c r="O722" i="1"/>
  <c r="Q722" i="1"/>
  <c r="R722" i="1"/>
  <c r="S722" i="1"/>
  <c r="T722" i="1"/>
  <c r="U722" i="1"/>
  <c r="A721" i="1"/>
  <c r="B721" i="1"/>
  <c r="C721" i="1"/>
  <c r="D721" i="1"/>
  <c r="E721" i="1"/>
  <c r="F721" i="1"/>
  <c r="G721" i="1"/>
  <c r="H721" i="1"/>
  <c r="I721" i="1"/>
  <c r="J721" i="1"/>
  <c r="K721" i="1"/>
  <c r="L721" i="1"/>
  <c r="M721" i="1"/>
  <c r="N721" i="1"/>
  <c r="O721" i="1"/>
  <c r="P721" i="1"/>
  <c r="Q721" i="1"/>
  <c r="R721" i="1"/>
  <c r="S721" i="1"/>
  <c r="T721" i="1"/>
  <c r="U721" i="1"/>
  <c r="A720" i="1"/>
  <c r="B720" i="1"/>
  <c r="C720" i="1"/>
  <c r="D720" i="1"/>
  <c r="E720" i="1"/>
  <c r="F720" i="1"/>
  <c r="G720" i="1"/>
  <c r="H720" i="1"/>
  <c r="I720" i="1"/>
  <c r="J720" i="1"/>
  <c r="K720" i="1"/>
  <c r="L720" i="1"/>
  <c r="M720" i="1"/>
  <c r="N720" i="1"/>
  <c r="O720" i="1"/>
  <c r="P720" i="1"/>
  <c r="Q720" i="1"/>
  <c r="R720" i="1"/>
  <c r="S720" i="1"/>
  <c r="T720" i="1"/>
  <c r="U720" i="1"/>
  <c r="A592" i="1"/>
  <c r="B592" i="1"/>
  <c r="C592" i="1"/>
  <c r="D592" i="1"/>
  <c r="E592" i="1"/>
  <c r="F592" i="1"/>
  <c r="G592" i="1"/>
  <c r="H592" i="1"/>
  <c r="I592" i="1"/>
  <c r="J592" i="1"/>
  <c r="K592" i="1"/>
  <c r="M592" i="1"/>
  <c r="N592" i="1"/>
  <c r="O592" i="1"/>
  <c r="P592" i="1"/>
  <c r="Q592" i="1"/>
  <c r="R592" i="1"/>
  <c r="S592" i="1"/>
  <c r="T592" i="1"/>
  <c r="U592" i="1"/>
  <c r="A591" i="1"/>
  <c r="B591" i="1"/>
  <c r="C591" i="1"/>
  <c r="D591" i="1"/>
  <c r="E591" i="1"/>
  <c r="F591" i="1"/>
  <c r="G591" i="1"/>
  <c r="H591" i="1"/>
  <c r="I591" i="1"/>
  <c r="J591" i="1"/>
  <c r="K591" i="1"/>
  <c r="L591" i="1"/>
  <c r="M591" i="1"/>
  <c r="N591" i="1"/>
  <c r="O591" i="1"/>
  <c r="P591" i="1"/>
  <c r="Q591" i="1"/>
  <c r="R591" i="1"/>
  <c r="S591" i="1"/>
  <c r="T591" i="1"/>
  <c r="U591" i="1"/>
  <c r="A588" i="1"/>
  <c r="B588" i="1"/>
  <c r="C588" i="1"/>
  <c r="D588" i="1"/>
  <c r="E588" i="1"/>
  <c r="F588" i="1"/>
  <c r="G588" i="1"/>
  <c r="H588" i="1"/>
  <c r="I588" i="1"/>
  <c r="J588" i="1"/>
  <c r="K588" i="1"/>
  <c r="L588" i="1"/>
  <c r="M588" i="1"/>
  <c r="N588" i="1"/>
  <c r="O588" i="1"/>
  <c r="P588" i="1"/>
  <c r="Q588" i="1"/>
  <c r="R588" i="1"/>
  <c r="S588" i="1"/>
  <c r="T588" i="1"/>
  <c r="U588" i="1"/>
  <c r="A589" i="1"/>
  <c r="B589" i="1"/>
  <c r="C589" i="1"/>
  <c r="D589" i="1"/>
  <c r="E589" i="1"/>
  <c r="F589" i="1"/>
  <c r="G589" i="1"/>
  <c r="H589" i="1"/>
  <c r="I589" i="1"/>
  <c r="J589" i="1"/>
  <c r="K589" i="1"/>
  <c r="M589" i="1"/>
  <c r="N589" i="1"/>
  <c r="O589" i="1"/>
  <c r="P589" i="1"/>
  <c r="Q589" i="1"/>
  <c r="R589" i="1"/>
  <c r="S589" i="1"/>
  <c r="T589" i="1"/>
  <c r="U589" i="1"/>
  <c r="A590" i="1"/>
  <c r="B590" i="1"/>
  <c r="C590" i="1"/>
  <c r="D590" i="1"/>
  <c r="E590" i="1"/>
  <c r="F590" i="1"/>
  <c r="G590" i="1"/>
  <c r="H590" i="1"/>
  <c r="I590" i="1"/>
  <c r="J590" i="1"/>
  <c r="K590" i="1"/>
  <c r="L590" i="1"/>
  <c r="M590" i="1"/>
  <c r="N590" i="1"/>
  <c r="O590" i="1"/>
  <c r="P590" i="1"/>
  <c r="Q590" i="1"/>
  <c r="R590" i="1"/>
  <c r="S590" i="1"/>
  <c r="T590" i="1"/>
  <c r="U590" i="1"/>
  <c r="A395" i="1"/>
  <c r="B395" i="1"/>
  <c r="C395" i="1"/>
  <c r="D395" i="1"/>
  <c r="E395" i="1"/>
  <c r="F395" i="1"/>
  <c r="G395" i="1"/>
  <c r="H395" i="1"/>
  <c r="I395" i="1"/>
  <c r="J395" i="1"/>
  <c r="K395" i="1"/>
  <c r="L395" i="1"/>
  <c r="M395" i="1"/>
  <c r="N395" i="1"/>
  <c r="O395" i="1"/>
  <c r="P395" i="1"/>
  <c r="Q395" i="1"/>
  <c r="R395" i="1"/>
  <c r="S395" i="1"/>
  <c r="U395" i="1"/>
  <c r="A471" i="1"/>
  <c r="B471" i="1"/>
  <c r="C471" i="1"/>
  <c r="D471" i="1"/>
  <c r="E471" i="1"/>
  <c r="F471" i="1"/>
  <c r="G471" i="1"/>
  <c r="H471" i="1"/>
  <c r="I471" i="1"/>
  <c r="J471" i="1"/>
  <c r="K471" i="1"/>
  <c r="L471" i="1"/>
  <c r="M471" i="1"/>
  <c r="N471" i="1"/>
  <c r="O471" i="1"/>
  <c r="P471" i="1"/>
  <c r="Q471" i="1"/>
  <c r="R471" i="1"/>
  <c r="S471" i="1"/>
  <c r="T471" i="1"/>
  <c r="U471" i="1"/>
  <c r="A472" i="1"/>
  <c r="B472" i="1"/>
  <c r="C472" i="1"/>
  <c r="D472" i="1"/>
  <c r="E472" i="1"/>
  <c r="F472" i="1"/>
  <c r="G472" i="1"/>
  <c r="H472" i="1"/>
  <c r="I472" i="1"/>
  <c r="J472" i="1"/>
  <c r="K472" i="1"/>
  <c r="L472" i="1"/>
  <c r="M472" i="1"/>
  <c r="N472" i="1"/>
  <c r="O472" i="1"/>
  <c r="P472" i="1"/>
  <c r="Q472" i="1"/>
  <c r="R472" i="1"/>
  <c r="S472" i="1"/>
  <c r="T472" i="1"/>
  <c r="U472" i="1"/>
  <c r="A470" i="1"/>
  <c r="B470" i="1"/>
  <c r="C470" i="1"/>
  <c r="D470" i="1"/>
  <c r="E470" i="1"/>
  <c r="F470" i="1"/>
  <c r="G470" i="1"/>
  <c r="H470" i="1"/>
  <c r="I470" i="1"/>
  <c r="J470" i="1"/>
  <c r="K470" i="1"/>
  <c r="L470" i="1"/>
  <c r="M470" i="1"/>
  <c r="N470" i="1"/>
  <c r="O470" i="1"/>
  <c r="Q470" i="1"/>
  <c r="R470" i="1"/>
  <c r="S470" i="1"/>
  <c r="T470" i="1"/>
  <c r="U470" i="1"/>
  <c r="A473" i="1"/>
  <c r="B473" i="1"/>
  <c r="C473" i="1"/>
  <c r="D473" i="1"/>
  <c r="E473" i="1"/>
  <c r="F473" i="1"/>
  <c r="G473" i="1"/>
  <c r="H473" i="1"/>
  <c r="I473" i="1"/>
  <c r="J473" i="1"/>
  <c r="K473" i="1"/>
  <c r="L473" i="1"/>
  <c r="M473" i="1"/>
  <c r="N473" i="1"/>
  <c r="O473" i="1"/>
  <c r="P473" i="1"/>
  <c r="Q473" i="1"/>
  <c r="R473" i="1"/>
  <c r="S473" i="1"/>
  <c r="T473" i="1"/>
  <c r="U473" i="1"/>
  <c r="A474" i="1"/>
  <c r="B474" i="1"/>
  <c r="C474" i="1"/>
  <c r="D474" i="1"/>
  <c r="E474" i="1"/>
  <c r="F474" i="1"/>
  <c r="G474" i="1"/>
  <c r="H474" i="1"/>
  <c r="I474" i="1"/>
  <c r="J474" i="1"/>
  <c r="K474" i="1"/>
  <c r="L474" i="1"/>
  <c r="M474" i="1"/>
  <c r="N474" i="1"/>
  <c r="O474" i="1"/>
  <c r="P474" i="1"/>
  <c r="Q474" i="1"/>
  <c r="R474" i="1"/>
  <c r="S474" i="1"/>
  <c r="T474" i="1"/>
  <c r="U474" i="1"/>
  <c r="A475" i="1"/>
  <c r="B475" i="1"/>
  <c r="C475" i="1"/>
  <c r="D475" i="1"/>
  <c r="E475" i="1"/>
  <c r="F475" i="1"/>
  <c r="G475" i="1"/>
  <c r="H475" i="1"/>
  <c r="I475" i="1"/>
  <c r="J475" i="1"/>
  <c r="K475" i="1"/>
  <c r="L475" i="1"/>
  <c r="M475" i="1"/>
  <c r="N475" i="1"/>
  <c r="O475" i="1"/>
  <c r="P475" i="1"/>
  <c r="Q475" i="1"/>
  <c r="R475" i="1"/>
  <c r="S475" i="1"/>
  <c r="T475" i="1"/>
  <c r="U475" i="1"/>
  <c r="A393" i="1"/>
  <c r="B393" i="1"/>
  <c r="C393" i="1"/>
  <c r="D393" i="1"/>
  <c r="E393" i="1"/>
  <c r="F393" i="1"/>
  <c r="G393" i="1"/>
  <c r="H393" i="1"/>
  <c r="I393" i="1"/>
  <c r="J393" i="1"/>
  <c r="K393" i="1"/>
  <c r="L393" i="1"/>
  <c r="M393" i="1"/>
  <c r="N393" i="1"/>
  <c r="O393" i="1"/>
  <c r="P393" i="1"/>
  <c r="Q393" i="1"/>
  <c r="R393" i="1"/>
  <c r="S393" i="1"/>
  <c r="T393" i="1"/>
  <c r="U393" i="1"/>
  <c r="A394" i="1"/>
  <c r="B394" i="1"/>
  <c r="C394" i="1"/>
  <c r="D394" i="1"/>
  <c r="E394" i="1"/>
  <c r="F394" i="1"/>
  <c r="G394" i="1"/>
  <c r="H394" i="1"/>
  <c r="I394" i="1"/>
  <c r="J394" i="1"/>
  <c r="K394" i="1"/>
  <c r="L394" i="1"/>
  <c r="M394" i="1"/>
  <c r="N394" i="1"/>
  <c r="O394" i="1"/>
  <c r="P394" i="1"/>
  <c r="Q394" i="1"/>
  <c r="R394" i="1"/>
  <c r="S394" i="1"/>
  <c r="T394" i="1"/>
  <c r="U394" i="1"/>
  <c r="A314" i="1"/>
  <c r="B314" i="1"/>
  <c r="C314" i="1"/>
  <c r="D314" i="1"/>
  <c r="E314" i="1"/>
  <c r="F314" i="1"/>
  <c r="G314" i="1"/>
  <c r="H314" i="1"/>
  <c r="I314" i="1"/>
  <c r="J314" i="1"/>
  <c r="K314" i="1"/>
  <c r="L314" i="1"/>
  <c r="M314" i="1"/>
  <c r="N314" i="1"/>
  <c r="O314" i="1"/>
  <c r="P314" i="1"/>
  <c r="Q314" i="1"/>
  <c r="R314" i="1"/>
  <c r="S314" i="1"/>
  <c r="T314" i="1"/>
  <c r="U314" i="1"/>
  <c r="A315" i="1"/>
  <c r="B315" i="1"/>
  <c r="C315" i="1"/>
  <c r="D315" i="1"/>
  <c r="E315" i="1"/>
  <c r="F315" i="1"/>
  <c r="G315" i="1"/>
  <c r="H315" i="1"/>
  <c r="I315" i="1"/>
  <c r="J315" i="1"/>
  <c r="K315" i="1"/>
  <c r="L315" i="1"/>
  <c r="M315" i="1"/>
  <c r="N315" i="1"/>
  <c r="O315" i="1"/>
  <c r="P315" i="1"/>
  <c r="Q315" i="1"/>
  <c r="R315" i="1"/>
  <c r="S315" i="1"/>
  <c r="T315" i="1"/>
  <c r="U315" i="1"/>
  <c r="A316" i="1"/>
  <c r="B316" i="1"/>
  <c r="C316" i="1"/>
  <c r="D316" i="1"/>
  <c r="E316" i="1"/>
  <c r="F316" i="1"/>
  <c r="G316" i="1"/>
  <c r="H316" i="1"/>
  <c r="I316" i="1"/>
  <c r="J316" i="1"/>
  <c r="K316" i="1"/>
  <c r="L316" i="1"/>
  <c r="M316" i="1"/>
  <c r="N316" i="1"/>
  <c r="O316" i="1"/>
  <c r="P316" i="1"/>
  <c r="Q316" i="1"/>
  <c r="R316" i="1"/>
  <c r="S316" i="1"/>
  <c r="T316" i="1"/>
  <c r="U316" i="1"/>
  <c r="A318" i="1"/>
  <c r="B318" i="1"/>
  <c r="C318" i="1"/>
  <c r="D318" i="1"/>
  <c r="E318" i="1"/>
  <c r="F318" i="1"/>
  <c r="G318" i="1"/>
  <c r="H318" i="1"/>
  <c r="I318" i="1"/>
  <c r="J318" i="1"/>
  <c r="K318" i="1"/>
  <c r="M318" i="1"/>
  <c r="N318" i="1"/>
  <c r="O318" i="1"/>
  <c r="P318" i="1"/>
  <c r="Q318" i="1"/>
  <c r="R318" i="1"/>
  <c r="S318" i="1"/>
  <c r="T318" i="1"/>
  <c r="U318" i="1"/>
  <c r="A317" i="1"/>
  <c r="B317" i="1"/>
  <c r="C317" i="1"/>
  <c r="D317" i="1"/>
  <c r="E317" i="1"/>
  <c r="F317" i="1"/>
  <c r="G317" i="1"/>
  <c r="H317" i="1"/>
  <c r="I317" i="1"/>
  <c r="J317" i="1"/>
  <c r="K317" i="1"/>
  <c r="L317" i="1"/>
  <c r="M317" i="1"/>
  <c r="N317" i="1"/>
  <c r="O317" i="1"/>
  <c r="P317" i="1"/>
  <c r="Q317" i="1"/>
  <c r="R317" i="1"/>
  <c r="S317" i="1"/>
  <c r="T317" i="1"/>
  <c r="U317" i="1"/>
  <c r="A319" i="1"/>
  <c r="B319" i="1"/>
  <c r="C319" i="1"/>
  <c r="D319" i="1"/>
  <c r="E319" i="1"/>
  <c r="F319" i="1"/>
  <c r="G319" i="1"/>
  <c r="H319" i="1"/>
  <c r="I319" i="1"/>
  <c r="J319" i="1"/>
  <c r="K319" i="1"/>
  <c r="L319" i="1"/>
  <c r="M319" i="1"/>
  <c r="N319" i="1"/>
  <c r="O319" i="1"/>
  <c r="P319" i="1"/>
  <c r="Q319" i="1"/>
  <c r="R319" i="1"/>
  <c r="S319" i="1"/>
  <c r="T319" i="1"/>
  <c r="U319" i="1"/>
  <c r="A87" i="1"/>
  <c r="B87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Q87" i="1"/>
  <c r="R87" i="1"/>
  <c r="S87" i="1"/>
  <c r="T87" i="1"/>
  <c r="U87" i="1"/>
  <c r="A86" i="1"/>
  <c r="B86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Q86" i="1"/>
  <c r="R86" i="1"/>
  <c r="S86" i="1"/>
  <c r="T86" i="1"/>
  <c r="U86" i="1"/>
  <c r="A88" i="1"/>
  <c r="B88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A89" i="1"/>
  <c r="B89" i="1"/>
  <c r="C89" i="1"/>
  <c r="D89" i="1"/>
  <c r="E89" i="1"/>
  <c r="F89" i="1"/>
  <c r="G89" i="1"/>
  <c r="H89" i="1"/>
  <c r="I89" i="1"/>
  <c r="J89" i="1"/>
  <c r="K89" i="1"/>
  <c r="M89" i="1"/>
  <c r="N89" i="1"/>
  <c r="O89" i="1"/>
  <c r="P89" i="1"/>
  <c r="Q89" i="1"/>
  <c r="R89" i="1"/>
  <c r="S89" i="1"/>
  <c r="T89" i="1"/>
  <c r="U89" i="1"/>
  <c r="A21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Q21" i="1"/>
  <c r="R21" i="1"/>
  <c r="S21" i="1"/>
  <c r="T21" i="1"/>
  <c r="U21" i="1"/>
  <c r="A22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A23" i="1"/>
  <c r="B23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A24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A25" i="1"/>
  <c r="B25" i="1"/>
  <c r="C25" i="1"/>
  <c r="D25" i="1"/>
  <c r="E25" i="1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A27" i="1"/>
  <c r="B27" i="1"/>
  <c r="C27" i="1"/>
  <c r="D27" i="1"/>
  <c r="E27" i="1"/>
  <c r="F27" i="1"/>
  <c r="G27" i="1"/>
  <c r="H27" i="1"/>
  <c r="I27" i="1"/>
  <c r="J27" i="1"/>
  <c r="K27" i="1"/>
  <c r="M27" i="1"/>
  <c r="N27" i="1"/>
  <c r="O27" i="1"/>
  <c r="P27" i="1"/>
  <c r="Q27" i="1"/>
  <c r="R27" i="1"/>
  <c r="S27" i="1"/>
  <c r="T27" i="1"/>
  <c r="U27" i="1"/>
  <c r="A26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A1849" i="1"/>
  <c r="B1849" i="1"/>
  <c r="C1849" i="1"/>
  <c r="D1849" i="1"/>
  <c r="E1849" i="1"/>
  <c r="F1849" i="1"/>
  <c r="G1849" i="1"/>
  <c r="H1849" i="1"/>
  <c r="I1849" i="1"/>
  <c r="J1849" i="1"/>
  <c r="K1849" i="1"/>
  <c r="L1849" i="1"/>
  <c r="M1849" i="1"/>
  <c r="N1849" i="1"/>
  <c r="O1849" i="1"/>
  <c r="P1849" i="1"/>
  <c r="Q1849" i="1"/>
  <c r="R1849" i="1"/>
  <c r="S1849" i="1"/>
  <c r="T1849" i="1"/>
  <c r="U1849" i="1"/>
  <c r="A20" i="1"/>
  <c r="B20" i="1"/>
  <c r="C20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A1893" i="1"/>
  <c r="B1893" i="1"/>
  <c r="C1893" i="1"/>
  <c r="D1893" i="1"/>
  <c r="E1893" i="1"/>
  <c r="F1893" i="1"/>
  <c r="G1893" i="1"/>
  <c r="H1893" i="1"/>
  <c r="I1893" i="1"/>
  <c r="J1893" i="1"/>
  <c r="K1893" i="1"/>
  <c r="L1893" i="1"/>
  <c r="M1893" i="1"/>
  <c r="N1893" i="1"/>
  <c r="O1893" i="1"/>
  <c r="P1893" i="1"/>
  <c r="Q1893" i="1"/>
  <c r="R1893" i="1"/>
  <c r="S1893" i="1"/>
  <c r="T1893" i="1"/>
  <c r="U1893" i="1"/>
  <c r="A1894" i="1"/>
  <c r="B1894" i="1"/>
  <c r="C1894" i="1"/>
  <c r="D1894" i="1"/>
  <c r="E1894" i="1"/>
  <c r="F1894" i="1"/>
  <c r="G1894" i="1"/>
  <c r="H1894" i="1"/>
  <c r="I1894" i="1"/>
  <c r="J1894" i="1"/>
  <c r="K1894" i="1"/>
  <c r="M1894" i="1"/>
  <c r="N1894" i="1"/>
  <c r="O1894" i="1"/>
  <c r="P1894" i="1"/>
  <c r="Q1894" i="1"/>
  <c r="R1894" i="1"/>
  <c r="S1894" i="1"/>
  <c r="T1894" i="1"/>
  <c r="U1894" i="1"/>
  <c r="A1854" i="1"/>
  <c r="B1854" i="1"/>
  <c r="C1854" i="1"/>
  <c r="D1854" i="1"/>
  <c r="E1854" i="1"/>
  <c r="F1854" i="1"/>
  <c r="G1854" i="1"/>
  <c r="H1854" i="1"/>
  <c r="I1854" i="1"/>
  <c r="J1854" i="1"/>
  <c r="K1854" i="1"/>
  <c r="L1854" i="1"/>
  <c r="M1854" i="1"/>
  <c r="N1854" i="1"/>
  <c r="O1854" i="1"/>
  <c r="P1854" i="1"/>
  <c r="Q1854" i="1"/>
  <c r="R1854" i="1"/>
  <c r="S1854" i="1"/>
  <c r="T1854" i="1"/>
  <c r="U1854" i="1"/>
  <c r="A1850" i="1"/>
  <c r="B1850" i="1"/>
  <c r="C1850" i="1"/>
  <c r="D1850" i="1"/>
  <c r="E1850" i="1"/>
  <c r="F1850" i="1"/>
  <c r="G1850" i="1"/>
  <c r="H1850" i="1"/>
  <c r="I1850" i="1"/>
  <c r="J1850" i="1"/>
  <c r="K1850" i="1"/>
  <c r="L1850" i="1"/>
  <c r="M1850" i="1"/>
  <c r="N1850" i="1"/>
  <c r="O1850" i="1"/>
  <c r="P1850" i="1"/>
  <c r="Q1850" i="1"/>
  <c r="R1850" i="1"/>
  <c r="S1850" i="1"/>
  <c r="T1850" i="1"/>
  <c r="U1850" i="1"/>
  <c r="A1851" i="1"/>
  <c r="B1851" i="1"/>
  <c r="C1851" i="1"/>
  <c r="D1851" i="1"/>
  <c r="E1851" i="1"/>
  <c r="F1851" i="1"/>
  <c r="G1851" i="1"/>
  <c r="H1851" i="1"/>
  <c r="I1851" i="1"/>
  <c r="J1851" i="1"/>
  <c r="K1851" i="1"/>
  <c r="L1851" i="1"/>
  <c r="M1851" i="1"/>
  <c r="N1851" i="1"/>
  <c r="O1851" i="1"/>
  <c r="P1851" i="1"/>
  <c r="Q1851" i="1"/>
  <c r="R1851" i="1"/>
  <c r="S1851" i="1"/>
  <c r="T1851" i="1"/>
  <c r="U1851" i="1"/>
  <c r="A1852" i="1"/>
  <c r="B1852" i="1"/>
  <c r="C1852" i="1"/>
  <c r="D1852" i="1"/>
  <c r="E1852" i="1"/>
  <c r="F1852" i="1"/>
  <c r="G1852" i="1"/>
  <c r="H1852" i="1"/>
  <c r="I1852" i="1"/>
  <c r="J1852" i="1"/>
  <c r="K1852" i="1"/>
  <c r="L1852" i="1"/>
  <c r="M1852" i="1"/>
  <c r="N1852" i="1"/>
  <c r="O1852" i="1"/>
  <c r="P1852" i="1"/>
  <c r="Q1852" i="1"/>
  <c r="R1852" i="1"/>
  <c r="S1852" i="1"/>
  <c r="T1852" i="1"/>
  <c r="U1852" i="1"/>
  <c r="A1853" i="1"/>
  <c r="B1853" i="1"/>
  <c r="C1853" i="1"/>
  <c r="D1853" i="1"/>
  <c r="E1853" i="1"/>
  <c r="F1853" i="1"/>
  <c r="G1853" i="1"/>
  <c r="H1853" i="1"/>
  <c r="I1853" i="1"/>
  <c r="J1853" i="1"/>
  <c r="K1853" i="1"/>
  <c r="L1853" i="1"/>
  <c r="M1853" i="1"/>
  <c r="N1853" i="1"/>
  <c r="O1853" i="1"/>
  <c r="P1853" i="1"/>
  <c r="Q1853" i="1"/>
  <c r="R1853" i="1"/>
  <c r="S1853" i="1"/>
  <c r="T1853" i="1"/>
  <c r="U1853" i="1"/>
  <c r="A1789" i="1"/>
  <c r="B1789" i="1"/>
  <c r="C1789" i="1"/>
  <c r="D1789" i="1"/>
  <c r="E1789" i="1"/>
  <c r="F1789" i="1"/>
  <c r="G1789" i="1"/>
  <c r="H1789" i="1"/>
  <c r="I1789" i="1"/>
  <c r="J1789" i="1"/>
  <c r="K1789" i="1"/>
  <c r="L1789" i="1"/>
  <c r="M1789" i="1"/>
  <c r="N1789" i="1"/>
  <c r="O1789" i="1"/>
  <c r="Q1789" i="1"/>
  <c r="R1789" i="1"/>
  <c r="S1789" i="1"/>
  <c r="T1789" i="1"/>
  <c r="U1789" i="1"/>
  <c r="A1790" i="1"/>
  <c r="B1790" i="1"/>
  <c r="C1790" i="1"/>
  <c r="D1790" i="1"/>
  <c r="E1790" i="1"/>
  <c r="F1790" i="1"/>
  <c r="G1790" i="1"/>
  <c r="H1790" i="1"/>
  <c r="I1790" i="1"/>
  <c r="J1790" i="1"/>
  <c r="K1790" i="1"/>
  <c r="L1790" i="1"/>
  <c r="M1790" i="1"/>
  <c r="N1790" i="1"/>
  <c r="O1790" i="1"/>
  <c r="P1790" i="1"/>
  <c r="Q1790" i="1"/>
  <c r="R1790" i="1"/>
  <c r="S1790" i="1"/>
  <c r="T1790" i="1"/>
  <c r="U1790" i="1"/>
  <c r="A1792" i="1"/>
  <c r="B1792" i="1"/>
  <c r="C1792" i="1"/>
  <c r="D1792" i="1"/>
  <c r="E1792" i="1"/>
  <c r="F1792" i="1"/>
  <c r="G1792" i="1"/>
  <c r="H1792" i="1"/>
  <c r="I1792" i="1"/>
  <c r="J1792" i="1"/>
  <c r="K1792" i="1"/>
  <c r="L1792" i="1"/>
  <c r="M1792" i="1"/>
  <c r="N1792" i="1"/>
  <c r="O1792" i="1"/>
  <c r="P1792" i="1"/>
  <c r="Q1792" i="1"/>
  <c r="R1792" i="1"/>
  <c r="S1792" i="1"/>
  <c r="T1792" i="1"/>
  <c r="U1792" i="1"/>
  <c r="A1791" i="1"/>
  <c r="B1791" i="1"/>
  <c r="C1791" i="1"/>
  <c r="D1791" i="1"/>
  <c r="E1791" i="1"/>
  <c r="F1791" i="1"/>
  <c r="G1791" i="1"/>
  <c r="H1791" i="1"/>
  <c r="I1791" i="1"/>
  <c r="J1791" i="1"/>
  <c r="K1791" i="1"/>
  <c r="L1791" i="1"/>
  <c r="M1791" i="1"/>
  <c r="N1791" i="1"/>
  <c r="O1791" i="1"/>
  <c r="P1791" i="1"/>
  <c r="Q1791" i="1"/>
  <c r="R1791" i="1"/>
  <c r="S1791" i="1"/>
  <c r="T1791" i="1"/>
  <c r="U1791" i="1"/>
  <c r="A1592" i="1"/>
  <c r="B1592" i="1"/>
  <c r="C1592" i="1"/>
  <c r="D1592" i="1"/>
  <c r="E1592" i="1"/>
  <c r="F1592" i="1"/>
  <c r="G1592" i="1"/>
  <c r="H1592" i="1"/>
  <c r="I1592" i="1"/>
  <c r="J1592" i="1"/>
  <c r="K1592" i="1"/>
  <c r="L1592" i="1"/>
  <c r="M1592" i="1"/>
  <c r="N1592" i="1"/>
  <c r="O1592" i="1"/>
  <c r="P1592" i="1"/>
  <c r="Q1592" i="1"/>
  <c r="R1592" i="1"/>
  <c r="S1592" i="1"/>
  <c r="T1592" i="1"/>
  <c r="U1592" i="1"/>
  <c r="A1477" i="1"/>
  <c r="B1477" i="1"/>
  <c r="C1477" i="1"/>
  <c r="D1477" i="1"/>
  <c r="E1477" i="1"/>
  <c r="F1477" i="1"/>
  <c r="G1477" i="1"/>
  <c r="H1477" i="1"/>
  <c r="I1477" i="1"/>
  <c r="J1477" i="1"/>
  <c r="K1477" i="1"/>
  <c r="L1477" i="1"/>
  <c r="M1477" i="1"/>
  <c r="N1477" i="1"/>
  <c r="O1477" i="1"/>
  <c r="P1477" i="1"/>
  <c r="Q1477" i="1"/>
  <c r="R1477" i="1"/>
  <c r="S1477" i="1"/>
  <c r="T1477" i="1"/>
  <c r="U1477" i="1"/>
  <c r="A1527" i="1"/>
  <c r="B1527" i="1"/>
  <c r="C1527" i="1"/>
  <c r="D1527" i="1"/>
  <c r="E1527" i="1"/>
  <c r="F1527" i="1"/>
  <c r="G1527" i="1"/>
  <c r="H1527" i="1"/>
  <c r="I1527" i="1"/>
  <c r="J1527" i="1"/>
  <c r="K1527" i="1"/>
  <c r="L1527" i="1"/>
  <c r="M1527" i="1"/>
  <c r="N1527" i="1"/>
  <c r="O1527" i="1"/>
  <c r="P1527" i="1"/>
  <c r="Q1527" i="1"/>
  <c r="R1527" i="1"/>
  <c r="S1527" i="1"/>
  <c r="T1527" i="1"/>
  <c r="U1527" i="1"/>
  <c r="A1528" i="1"/>
  <c r="B1528" i="1"/>
  <c r="C1528" i="1"/>
  <c r="D1528" i="1"/>
  <c r="E1528" i="1"/>
  <c r="F1528" i="1"/>
  <c r="G1528" i="1"/>
  <c r="H1528" i="1"/>
  <c r="I1528" i="1"/>
  <c r="J1528" i="1"/>
  <c r="K1528" i="1"/>
  <c r="L1528" i="1"/>
  <c r="M1528" i="1"/>
  <c r="N1528" i="1"/>
  <c r="O1528" i="1"/>
  <c r="P1528" i="1"/>
  <c r="Q1528" i="1"/>
  <c r="R1528" i="1"/>
  <c r="S1528" i="1"/>
  <c r="T1528" i="1"/>
  <c r="U1528" i="1"/>
  <c r="A1529" i="1"/>
  <c r="B1529" i="1"/>
  <c r="C1529" i="1"/>
  <c r="D1529" i="1"/>
  <c r="E1529" i="1"/>
  <c r="F1529" i="1"/>
  <c r="G1529" i="1"/>
  <c r="H1529" i="1"/>
  <c r="I1529" i="1"/>
  <c r="J1529" i="1"/>
  <c r="K1529" i="1"/>
  <c r="L1529" i="1"/>
  <c r="M1529" i="1"/>
  <c r="N1529" i="1"/>
  <c r="O1529" i="1"/>
  <c r="P1529" i="1"/>
  <c r="Q1529" i="1"/>
  <c r="R1529" i="1"/>
  <c r="S1529" i="1"/>
  <c r="T1529" i="1"/>
  <c r="U1529" i="1"/>
  <c r="A1530" i="1"/>
  <c r="B1530" i="1"/>
  <c r="C1530" i="1"/>
  <c r="D1530" i="1"/>
  <c r="E1530" i="1"/>
  <c r="F1530" i="1"/>
  <c r="G1530" i="1"/>
  <c r="H1530" i="1"/>
  <c r="I1530" i="1"/>
  <c r="J1530" i="1"/>
  <c r="K1530" i="1"/>
  <c r="L1530" i="1"/>
  <c r="M1530" i="1"/>
  <c r="N1530" i="1"/>
  <c r="O1530" i="1"/>
  <c r="P1530" i="1"/>
  <c r="Q1530" i="1"/>
  <c r="R1530" i="1"/>
  <c r="S1530" i="1"/>
  <c r="T1530" i="1"/>
  <c r="U1530" i="1"/>
  <c r="A1531" i="1"/>
  <c r="B1531" i="1"/>
  <c r="C1531" i="1"/>
  <c r="D1531" i="1"/>
  <c r="E1531" i="1"/>
  <c r="F1531" i="1"/>
  <c r="G1531" i="1"/>
  <c r="H1531" i="1"/>
  <c r="I1531" i="1"/>
  <c r="J1531" i="1"/>
  <c r="K1531" i="1"/>
  <c r="L1531" i="1"/>
  <c r="M1531" i="1"/>
  <c r="N1531" i="1"/>
  <c r="O1531" i="1"/>
  <c r="P1531" i="1"/>
  <c r="Q1531" i="1"/>
  <c r="R1531" i="1"/>
  <c r="S1531" i="1"/>
  <c r="T1531" i="1"/>
  <c r="U1531" i="1"/>
  <c r="A1532" i="1"/>
  <c r="B1532" i="1"/>
  <c r="C1532" i="1"/>
  <c r="D1532" i="1"/>
  <c r="E1532" i="1"/>
  <c r="F1532" i="1"/>
  <c r="G1532" i="1"/>
  <c r="H1532" i="1"/>
  <c r="I1532" i="1"/>
  <c r="J1532" i="1"/>
  <c r="K1532" i="1"/>
  <c r="L1532" i="1"/>
  <c r="M1532" i="1"/>
  <c r="N1532" i="1"/>
  <c r="O1532" i="1"/>
  <c r="P1532" i="1"/>
  <c r="Q1532" i="1"/>
  <c r="R1532" i="1"/>
  <c r="S1532" i="1"/>
  <c r="T1532" i="1"/>
  <c r="U1532" i="1"/>
  <c r="A1476" i="1"/>
  <c r="B1476" i="1"/>
  <c r="C1476" i="1"/>
  <c r="D1476" i="1"/>
  <c r="E1476" i="1"/>
  <c r="F1476" i="1"/>
  <c r="G1476" i="1"/>
  <c r="H1476" i="1"/>
  <c r="I1476" i="1"/>
  <c r="J1476" i="1"/>
  <c r="K1476" i="1"/>
  <c r="L1476" i="1"/>
  <c r="M1476" i="1"/>
  <c r="N1476" i="1"/>
  <c r="O1476" i="1"/>
  <c r="P1476" i="1"/>
  <c r="Q1476" i="1"/>
  <c r="R1476" i="1"/>
  <c r="S1476" i="1"/>
  <c r="T1476" i="1"/>
  <c r="U1476" i="1"/>
  <c r="A1474" i="1"/>
  <c r="B1474" i="1"/>
  <c r="C1474" i="1"/>
  <c r="D1474" i="1"/>
  <c r="E1474" i="1"/>
  <c r="F1474" i="1"/>
  <c r="G1474" i="1"/>
  <c r="H1474" i="1"/>
  <c r="I1474" i="1"/>
  <c r="J1474" i="1"/>
  <c r="K1474" i="1"/>
  <c r="L1474" i="1"/>
  <c r="M1474" i="1"/>
  <c r="N1474" i="1"/>
  <c r="O1474" i="1"/>
  <c r="P1474" i="1"/>
  <c r="Q1474" i="1"/>
  <c r="R1474" i="1"/>
  <c r="S1474" i="1"/>
  <c r="T1474" i="1"/>
  <c r="U1474" i="1"/>
  <c r="A1475" i="1"/>
  <c r="B1475" i="1"/>
  <c r="C1475" i="1"/>
  <c r="D1475" i="1"/>
  <c r="E1475" i="1"/>
  <c r="F1475" i="1"/>
  <c r="G1475" i="1"/>
  <c r="H1475" i="1"/>
  <c r="I1475" i="1"/>
  <c r="J1475" i="1"/>
  <c r="K1475" i="1"/>
  <c r="M1475" i="1"/>
  <c r="N1475" i="1"/>
  <c r="O1475" i="1"/>
  <c r="P1475" i="1"/>
  <c r="Q1475" i="1"/>
  <c r="R1475" i="1"/>
  <c r="S1475" i="1"/>
  <c r="T1475" i="1"/>
  <c r="U1475" i="1"/>
  <c r="A1398" i="1"/>
  <c r="B1398" i="1"/>
  <c r="C1398" i="1"/>
  <c r="D1398" i="1"/>
  <c r="E1398" i="1"/>
  <c r="F1398" i="1"/>
  <c r="G1398" i="1"/>
  <c r="H1398" i="1"/>
  <c r="I1398" i="1"/>
  <c r="J1398" i="1"/>
  <c r="K1398" i="1"/>
  <c r="L1398" i="1"/>
  <c r="M1398" i="1"/>
  <c r="N1398" i="1"/>
  <c r="O1398" i="1"/>
  <c r="P1398" i="1"/>
  <c r="Q1398" i="1"/>
  <c r="R1398" i="1"/>
  <c r="S1398" i="1"/>
  <c r="T1398" i="1"/>
  <c r="U1398" i="1"/>
  <c r="A1396" i="1"/>
  <c r="B1396" i="1"/>
  <c r="C1396" i="1"/>
  <c r="D1396" i="1"/>
  <c r="E1396" i="1"/>
  <c r="F1396" i="1"/>
  <c r="G1396" i="1"/>
  <c r="H1396" i="1"/>
  <c r="I1396" i="1"/>
  <c r="J1396" i="1"/>
  <c r="K1396" i="1"/>
  <c r="M1396" i="1"/>
  <c r="N1396" i="1"/>
  <c r="O1396" i="1"/>
  <c r="P1396" i="1"/>
  <c r="Q1396" i="1"/>
  <c r="R1396" i="1"/>
  <c r="S1396" i="1"/>
  <c r="T1396" i="1"/>
  <c r="U1396" i="1"/>
  <c r="A1397" i="1"/>
  <c r="B1397" i="1"/>
  <c r="C1397" i="1"/>
  <c r="D1397" i="1"/>
  <c r="E1397" i="1"/>
  <c r="F1397" i="1"/>
  <c r="G1397" i="1"/>
  <c r="H1397" i="1"/>
  <c r="I1397" i="1"/>
  <c r="J1397" i="1"/>
  <c r="K1397" i="1"/>
  <c r="M1397" i="1"/>
  <c r="N1397" i="1"/>
  <c r="O1397" i="1"/>
  <c r="P1397" i="1"/>
  <c r="Q1397" i="1"/>
  <c r="R1397" i="1"/>
  <c r="S1397" i="1"/>
  <c r="T1397" i="1"/>
  <c r="U1397" i="1"/>
  <c r="A745" i="1"/>
  <c r="B745" i="1"/>
  <c r="C745" i="1"/>
  <c r="D745" i="1"/>
  <c r="E745" i="1"/>
  <c r="F745" i="1"/>
  <c r="G745" i="1"/>
  <c r="H745" i="1"/>
  <c r="I745" i="1"/>
  <c r="J745" i="1"/>
  <c r="K745" i="1"/>
  <c r="L745" i="1"/>
  <c r="M745" i="1"/>
  <c r="O745" i="1"/>
  <c r="Q745" i="1"/>
  <c r="R745" i="1"/>
  <c r="S745" i="1"/>
  <c r="T745" i="1"/>
  <c r="U745" i="1"/>
  <c r="A1395" i="1"/>
  <c r="B1395" i="1"/>
  <c r="C1395" i="1"/>
  <c r="D1395" i="1"/>
  <c r="E1395" i="1"/>
  <c r="F1395" i="1"/>
  <c r="G1395" i="1"/>
  <c r="H1395" i="1"/>
  <c r="I1395" i="1"/>
  <c r="J1395" i="1"/>
  <c r="K1395" i="1"/>
  <c r="L1395" i="1"/>
  <c r="M1395" i="1"/>
  <c r="N1395" i="1"/>
  <c r="O1395" i="1"/>
  <c r="P1395" i="1"/>
  <c r="Q1395" i="1"/>
  <c r="R1395" i="1"/>
  <c r="S1395" i="1"/>
  <c r="T1395" i="1"/>
  <c r="U1395" i="1"/>
  <c r="A1394" i="1"/>
  <c r="B1394" i="1"/>
  <c r="C1394" i="1"/>
  <c r="D1394" i="1"/>
  <c r="E1394" i="1"/>
  <c r="F1394" i="1"/>
  <c r="G1394" i="1"/>
  <c r="H1394" i="1"/>
  <c r="I1394" i="1"/>
  <c r="J1394" i="1"/>
  <c r="K1394" i="1"/>
  <c r="L1394" i="1"/>
  <c r="M1394" i="1"/>
  <c r="N1394" i="1"/>
  <c r="O1394" i="1"/>
  <c r="Q1394" i="1"/>
  <c r="R1394" i="1"/>
  <c r="S1394" i="1"/>
  <c r="T1394" i="1"/>
  <c r="U1394" i="1"/>
  <c r="A1335" i="1"/>
  <c r="B1335" i="1"/>
  <c r="C1335" i="1"/>
  <c r="D1335" i="1"/>
  <c r="E1335" i="1"/>
  <c r="F1335" i="1"/>
  <c r="G1335" i="1"/>
  <c r="H1335" i="1"/>
  <c r="I1335" i="1"/>
  <c r="J1335" i="1"/>
  <c r="K1335" i="1"/>
  <c r="L1335" i="1"/>
  <c r="M1335" i="1"/>
  <c r="N1335" i="1"/>
  <c r="O1335" i="1"/>
  <c r="P1335" i="1"/>
  <c r="Q1335" i="1"/>
  <c r="R1335" i="1"/>
  <c r="S1335" i="1"/>
  <c r="T1335" i="1"/>
  <c r="U1335" i="1"/>
  <c r="A1336" i="1"/>
  <c r="B1336" i="1"/>
  <c r="C1336" i="1"/>
  <c r="D1336" i="1"/>
  <c r="E1336" i="1"/>
  <c r="F1336" i="1"/>
  <c r="G1336" i="1"/>
  <c r="H1336" i="1"/>
  <c r="I1336" i="1"/>
  <c r="J1336" i="1"/>
  <c r="K1336" i="1"/>
  <c r="L1336" i="1"/>
  <c r="M1336" i="1"/>
  <c r="N1336" i="1"/>
  <c r="O1336" i="1"/>
  <c r="P1336" i="1"/>
  <c r="Q1336" i="1"/>
  <c r="R1336" i="1"/>
  <c r="S1336" i="1"/>
  <c r="T1336" i="1"/>
  <c r="U1336" i="1"/>
  <c r="A1337" i="1"/>
  <c r="B1337" i="1"/>
  <c r="C1337" i="1"/>
  <c r="D1337" i="1"/>
  <c r="E1337" i="1"/>
  <c r="F1337" i="1"/>
  <c r="G1337" i="1"/>
  <c r="H1337" i="1"/>
  <c r="I1337" i="1"/>
  <c r="J1337" i="1"/>
  <c r="K1337" i="1"/>
  <c r="L1337" i="1"/>
  <c r="M1337" i="1"/>
  <c r="N1337" i="1"/>
  <c r="O1337" i="1"/>
  <c r="P1337" i="1"/>
  <c r="Q1337" i="1"/>
  <c r="R1337" i="1"/>
  <c r="S1337" i="1"/>
  <c r="T1337" i="1"/>
  <c r="U1337" i="1"/>
  <c r="A1341" i="1"/>
  <c r="B1341" i="1"/>
  <c r="C1341" i="1"/>
  <c r="D1341" i="1"/>
  <c r="E1341" i="1"/>
  <c r="F1341" i="1"/>
  <c r="G1341" i="1"/>
  <c r="H1341" i="1"/>
  <c r="I1341" i="1"/>
  <c r="J1341" i="1"/>
  <c r="K1341" i="1"/>
  <c r="L1341" i="1"/>
  <c r="M1341" i="1"/>
  <c r="N1341" i="1"/>
  <c r="O1341" i="1"/>
  <c r="P1341" i="1"/>
  <c r="Q1341" i="1"/>
  <c r="R1341" i="1"/>
  <c r="S1341" i="1"/>
  <c r="T1341" i="1"/>
  <c r="U1341" i="1"/>
  <c r="A1340" i="1"/>
  <c r="B1340" i="1"/>
  <c r="C1340" i="1"/>
  <c r="D1340" i="1"/>
  <c r="E1340" i="1"/>
  <c r="F1340" i="1"/>
  <c r="G1340" i="1"/>
  <c r="H1340" i="1"/>
  <c r="I1340" i="1"/>
  <c r="J1340" i="1"/>
  <c r="K1340" i="1"/>
  <c r="L1340" i="1"/>
  <c r="M1340" i="1"/>
  <c r="N1340" i="1"/>
  <c r="O1340" i="1"/>
  <c r="P1340" i="1"/>
  <c r="Q1340" i="1"/>
  <c r="R1340" i="1"/>
  <c r="S1340" i="1"/>
  <c r="T1340" i="1"/>
  <c r="U1340" i="1"/>
  <c r="A1338" i="1"/>
  <c r="B1338" i="1"/>
  <c r="C1338" i="1"/>
  <c r="D1338" i="1"/>
  <c r="E1338" i="1"/>
  <c r="F1338" i="1"/>
  <c r="G1338" i="1"/>
  <c r="H1338" i="1"/>
  <c r="I1338" i="1"/>
  <c r="J1338" i="1"/>
  <c r="K1338" i="1"/>
  <c r="L1338" i="1"/>
  <c r="M1338" i="1"/>
  <c r="N1338" i="1"/>
  <c r="O1338" i="1"/>
  <c r="P1338" i="1"/>
  <c r="Q1338" i="1"/>
  <c r="R1338" i="1"/>
  <c r="S1338" i="1"/>
  <c r="T1338" i="1"/>
  <c r="U1338" i="1"/>
  <c r="A1339" i="1"/>
  <c r="B1339" i="1"/>
  <c r="C1339" i="1"/>
  <c r="D1339" i="1"/>
  <c r="E1339" i="1"/>
  <c r="F1339" i="1"/>
  <c r="G1339" i="1"/>
  <c r="H1339" i="1"/>
  <c r="I1339" i="1"/>
  <c r="J1339" i="1"/>
  <c r="K1339" i="1"/>
  <c r="L1339" i="1"/>
  <c r="M1339" i="1"/>
  <c r="N1339" i="1"/>
  <c r="O1339" i="1"/>
  <c r="P1339" i="1"/>
  <c r="Q1339" i="1"/>
  <c r="R1339" i="1"/>
  <c r="S1339" i="1"/>
  <c r="T1339" i="1"/>
  <c r="U1339" i="1"/>
  <c r="A1332" i="1"/>
  <c r="B1332" i="1"/>
  <c r="C1332" i="1"/>
  <c r="D1332" i="1"/>
  <c r="E1332" i="1"/>
  <c r="F1332" i="1"/>
  <c r="G1332" i="1"/>
  <c r="H1332" i="1"/>
  <c r="I1332" i="1"/>
  <c r="J1332" i="1"/>
  <c r="K1332" i="1"/>
  <c r="L1332" i="1"/>
  <c r="M1332" i="1"/>
  <c r="N1332" i="1"/>
  <c r="O1332" i="1"/>
  <c r="P1332" i="1"/>
  <c r="Q1332" i="1"/>
  <c r="R1332" i="1"/>
  <c r="S1332" i="1"/>
  <c r="T1332" i="1"/>
  <c r="U1332" i="1"/>
  <c r="A1333" i="1"/>
  <c r="B1333" i="1"/>
  <c r="C1333" i="1"/>
  <c r="D1333" i="1"/>
  <c r="E1333" i="1"/>
  <c r="F1333" i="1"/>
  <c r="G1333" i="1"/>
  <c r="H1333" i="1"/>
  <c r="I1333" i="1"/>
  <c r="J1333" i="1"/>
  <c r="K1333" i="1"/>
  <c r="L1333" i="1"/>
  <c r="M1333" i="1"/>
  <c r="N1333" i="1"/>
  <c r="O1333" i="1"/>
  <c r="P1333" i="1"/>
  <c r="Q1333" i="1"/>
  <c r="R1333" i="1"/>
  <c r="S1333" i="1"/>
  <c r="T1333" i="1"/>
  <c r="U1333" i="1"/>
  <c r="A1334" i="1"/>
  <c r="B1334" i="1"/>
  <c r="C1334" i="1"/>
  <c r="D1334" i="1"/>
  <c r="E1334" i="1"/>
  <c r="F1334" i="1"/>
  <c r="G1334" i="1"/>
  <c r="H1334" i="1"/>
  <c r="I1334" i="1"/>
  <c r="J1334" i="1"/>
  <c r="K1334" i="1"/>
  <c r="L1334" i="1"/>
  <c r="M1334" i="1"/>
  <c r="N1334" i="1"/>
  <c r="O1334" i="1"/>
  <c r="P1334" i="1"/>
  <c r="Q1334" i="1"/>
  <c r="R1334" i="1"/>
  <c r="S1334" i="1"/>
  <c r="T1334" i="1"/>
  <c r="U1334" i="1"/>
  <c r="A1102" i="1"/>
  <c r="B1102" i="1"/>
  <c r="C1102" i="1"/>
  <c r="D1102" i="1"/>
  <c r="E1102" i="1"/>
  <c r="F1102" i="1"/>
  <c r="G1102" i="1"/>
  <c r="H1102" i="1"/>
  <c r="I1102" i="1"/>
  <c r="J1102" i="1"/>
  <c r="K1102" i="1"/>
  <c r="L1102" i="1"/>
  <c r="M1102" i="1"/>
  <c r="N1102" i="1"/>
  <c r="O1102" i="1"/>
  <c r="Q1102" i="1"/>
  <c r="R1102" i="1"/>
  <c r="S1102" i="1"/>
  <c r="T1102" i="1"/>
  <c r="U1102" i="1"/>
  <c r="A1103" i="1"/>
  <c r="B1103" i="1"/>
  <c r="C1103" i="1"/>
  <c r="D1103" i="1"/>
  <c r="E1103" i="1"/>
  <c r="F1103" i="1"/>
  <c r="G1103" i="1"/>
  <c r="H1103" i="1"/>
  <c r="I1103" i="1"/>
  <c r="J1103" i="1"/>
  <c r="K1103" i="1"/>
  <c r="L1103" i="1"/>
  <c r="M1103" i="1"/>
  <c r="N1103" i="1"/>
  <c r="O1103" i="1"/>
  <c r="P1103" i="1"/>
  <c r="Q1103" i="1"/>
  <c r="R1103" i="1"/>
  <c r="S1103" i="1"/>
  <c r="T1103" i="1"/>
  <c r="U1103" i="1"/>
  <c r="A1104" i="1"/>
  <c r="B1104" i="1"/>
  <c r="C1104" i="1"/>
  <c r="D1104" i="1"/>
  <c r="E1104" i="1"/>
  <c r="F1104" i="1"/>
  <c r="G1104" i="1"/>
  <c r="H1104" i="1"/>
  <c r="I1104" i="1"/>
  <c r="J1104" i="1"/>
  <c r="K1104" i="1"/>
  <c r="M1104" i="1"/>
  <c r="N1104" i="1"/>
  <c r="O1104" i="1"/>
  <c r="P1104" i="1"/>
  <c r="Q1104" i="1"/>
  <c r="R1104" i="1"/>
  <c r="S1104" i="1"/>
  <c r="T1104" i="1"/>
  <c r="U1104" i="1"/>
  <c r="A1018" i="1"/>
  <c r="B1018" i="1"/>
  <c r="C1018" i="1"/>
  <c r="D1018" i="1"/>
  <c r="E1018" i="1"/>
  <c r="F1018" i="1"/>
  <c r="G1018" i="1"/>
  <c r="H1018" i="1"/>
  <c r="I1018" i="1"/>
  <c r="J1018" i="1"/>
  <c r="K1018" i="1"/>
  <c r="M1018" i="1"/>
  <c r="N1018" i="1"/>
  <c r="O1018" i="1"/>
  <c r="P1018" i="1"/>
  <c r="Q1018" i="1"/>
  <c r="R1018" i="1"/>
  <c r="S1018" i="1"/>
  <c r="T1018" i="1"/>
  <c r="U1018" i="1"/>
  <c r="A1017" i="1"/>
  <c r="B1017" i="1"/>
  <c r="C1017" i="1"/>
  <c r="D1017" i="1"/>
  <c r="E1017" i="1"/>
  <c r="F1017" i="1"/>
  <c r="G1017" i="1"/>
  <c r="H1017" i="1"/>
  <c r="I1017" i="1"/>
  <c r="J1017" i="1"/>
  <c r="K1017" i="1"/>
  <c r="M1017" i="1"/>
  <c r="N1017" i="1"/>
  <c r="O1017" i="1"/>
  <c r="P1017" i="1"/>
  <c r="Q1017" i="1"/>
  <c r="R1017" i="1"/>
  <c r="S1017" i="1"/>
  <c r="T1017" i="1"/>
  <c r="U1017" i="1"/>
  <c r="A1016" i="1"/>
  <c r="B1016" i="1"/>
  <c r="C1016" i="1"/>
  <c r="D1016" i="1"/>
  <c r="E1016" i="1"/>
  <c r="F1016" i="1"/>
  <c r="G1016" i="1"/>
  <c r="H1016" i="1"/>
  <c r="I1016" i="1"/>
  <c r="J1016" i="1"/>
  <c r="K1016" i="1"/>
  <c r="L1016" i="1"/>
  <c r="M1016" i="1"/>
  <c r="N1016" i="1"/>
  <c r="O1016" i="1"/>
  <c r="P1016" i="1"/>
  <c r="Q1016" i="1"/>
  <c r="R1016" i="1"/>
  <c r="S1016" i="1"/>
  <c r="T1016" i="1"/>
  <c r="U1016" i="1"/>
  <c r="A939" i="1"/>
  <c r="B939" i="1"/>
  <c r="C939" i="1"/>
  <c r="D939" i="1"/>
  <c r="E939" i="1"/>
  <c r="F939" i="1"/>
  <c r="G939" i="1"/>
  <c r="H939" i="1"/>
  <c r="I939" i="1"/>
  <c r="J939" i="1"/>
  <c r="K939" i="1"/>
  <c r="L939" i="1"/>
  <c r="M939" i="1"/>
  <c r="N939" i="1"/>
  <c r="O939" i="1"/>
  <c r="P939" i="1"/>
  <c r="Q939" i="1"/>
  <c r="R939" i="1"/>
  <c r="S939" i="1"/>
  <c r="T939" i="1"/>
  <c r="U939" i="1"/>
  <c r="A940" i="1"/>
  <c r="B940" i="1"/>
  <c r="C940" i="1"/>
  <c r="D940" i="1"/>
  <c r="E940" i="1"/>
  <c r="F940" i="1"/>
  <c r="G940" i="1"/>
  <c r="H940" i="1"/>
  <c r="I940" i="1"/>
  <c r="J940" i="1"/>
  <c r="K940" i="1"/>
  <c r="L940" i="1"/>
  <c r="M940" i="1"/>
  <c r="N940" i="1"/>
  <c r="O940" i="1"/>
  <c r="P940" i="1"/>
  <c r="Q940" i="1"/>
  <c r="R940" i="1"/>
  <c r="S940" i="1"/>
  <c r="T940" i="1"/>
  <c r="U940" i="1"/>
  <c r="A941" i="1"/>
  <c r="B941" i="1"/>
  <c r="C941" i="1"/>
  <c r="D941" i="1"/>
  <c r="E941" i="1"/>
  <c r="F941" i="1"/>
  <c r="G941" i="1"/>
  <c r="H941" i="1"/>
  <c r="I941" i="1"/>
  <c r="J941" i="1"/>
  <c r="K941" i="1"/>
  <c r="L941" i="1"/>
  <c r="M941" i="1"/>
  <c r="N941" i="1"/>
  <c r="O941" i="1"/>
  <c r="P941" i="1"/>
  <c r="Q941" i="1"/>
  <c r="R941" i="1"/>
  <c r="S941" i="1"/>
  <c r="T941" i="1"/>
  <c r="U941" i="1"/>
  <c r="A942" i="1"/>
  <c r="B942" i="1"/>
  <c r="C942" i="1"/>
  <c r="D942" i="1"/>
  <c r="E942" i="1"/>
  <c r="F942" i="1"/>
  <c r="G942" i="1"/>
  <c r="H942" i="1"/>
  <c r="I942" i="1"/>
  <c r="J942" i="1"/>
  <c r="K942" i="1"/>
  <c r="L942" i="1"/>
  <c r="M942" i="1"/>
  <c r="N942" i="1"/>
  <c r="O942" i="1"/>
  <c r="P942" i="1"/>
  <c r="Q942" i="1"/>
  <c r="R942" i="1"/>
  <c r="S942" i="1"/>
  <c r="T942" i="1"/>
  <c r="U942" i="1"/>
  <c r="A943" i="1"/>
  <c r="B943" i="1"/>
  <c r="C943" i="1"/>
  <c r="D943" i="1"/>
  <c r="E943" i="1"/>
  <c r="F943" i="1"/>
  <c r="G943" i="1"/>
  <c r="H943" i="1"/>
  <c r="I943" i="1"/>
  <c r="J943" i="1"/>
  <c r="K943" i="1"/>
  <c r="L943" i="1"/>
  <c r="M943" i="1"/>
  <c r="N943" i="1"/>
  <c r="O943" i="1"/>
  <c r="P943" i="1"/>
  <c r="Q943" i="1"/>
  <c r="R943" i="1"/>
  <c r="S943" i="1"/>
  <c r="T943" i="1"/>
  <c r="U943" i="1"/>
  <c r="A888" i="1"/>
  <c r="B888" i="1"/>
  <c r="C888" i="1"/>
  <c r="D888" i="1"/>
  <c r="E888" i="1"/>
  <c r="F888" i="1"/>
  <c r="G888" i="1"/>
  <c r="H888" i="1"/>
  <c r="I888" i="1"/>
  <c r="J888" i="1"/>
  <c r="K888" i="1"/>
  <c r="L888" i="1"/>
  <c r="M888" i="1"/>
  <c r="N888" i="1"/>
  <c r="O888" i="1"/>
  <c r="P888" i="1"/>
  <c r="Q888" i="1"/>
  <c r="R888" i="1"/>
  <c r="S888" i="1"/>
  <c r="T888" i="1"/>
  <c r="U888" i="1"/>
  <c r="A889" i="1"/>
  <c r="B889" i="1"/>
  <c r="C889" i="1"/>
  <c r="D889" i="1"/>
  <c r="E889" i="1"/>
  <c r="F889" i="1"/>
  <c r="G889" i="1"/>
  <c r="H889" i="1"/>
  <c r="I889" i="1"/>
  <c r="J889" i="1"/>
  <c r="K889" i="1"/>
  <c r="L889" i="1"/>
  <c r="M889" i="1"/>
  <c r="N889" i="1"/>
  <c r="O889" i="1"/>
  <c r="P889" i="1"/>
  <c r="Q889" i="1"/>
  <c r="R889" i="1"/>
  <c r="S889" i="1"/>
  <c r="T889" i="1"/>
  <c r="U889" i="1"/>
  <c r="A750" i="1"/>
  <c r="B750" i="1"/>
  <c r="C750" i="1"/>
  <c r="D750" i="1"/>
  <c r="E750" i="1"/>
  <c r="F750" i="1"/>
  <c r="G750" i="1"/>
  <c r="H750" i="1"/>
  <c r="I750" i="1"/>
  <c r="J750" i="1"/>
  <c r="K750" i="1"/>
  <c r="L750" i="1"/>
  <c r="M750" i="1"/>
  <c r="N750" i="1"/>
  <c r="O750" i="1"/>
  <c r="P750" i="1"/>
  <c r="Q750" i="1"/>
  <c r="R750" i="1"/>
  <c r="S750" i="1"/>
  <c r="T750" i="1"/>
  <c r="U750" i="1"/>
  <c r="A751" i="1"/>
  <c r="B751" i="1"/>
  <c r="C751" i="1"/>
  <c r="D751" i="1"/>
  <c r="E751" i="1"/>
  <c r="F751" i="1"/>
  <c r="G751" i="1"/>
  <c r="H751" i="1"/>
  <c r="I751" i="1"/>
  <c r="J751" i="1"/>
  <c r="K751" i="1"/>
  <c r="M751" i="1"/>
  <c r="N751" i="1"/>
  <c r="O751" i="1"/>
  <c r="P751" i="1"/>
  <c r="Q751" i="1"/>
  <c r="R751" i="1"/>
  <c r="S751" i="1"/>
  <c r="T751" i="1"/>
  <c r="U751" i="1"/>
  <c r="A746" i="1"/>
  <c r="B746" i="1"/>
  <c r="C746" i="1"/>
  <c r="D746" i="1"/>
  <c r="E746" i="1"/>
  <c r="F746" i="1"/>
  <c r="G746" i="1"/>
  <c r="H746" i="1"/>
  <c r="I746" i="1"/>
  <c r="J746" i="1"/>
  <c r="K746" i="1"/>
  <c r="L746" i="1"/>
  <c r="M746" i="1"/>
  <c r="N746" i="1"/>
  <c r="O746" i="1"/>
  <c r="P746" i="1"/>
  <c r="Q746" i="1"/>
  <c r="R746" i="1"/>
  <c r="S746" i="1"/>
  <c r="U746" i="1"/>
  <c r="A747" i="1"/>
  <c r="B747" i="1"/>
  <c r="C747" i="1"/>
  <c r="D747" i="1"/>
  <c r="E747" i="1"/>
  <c r="F747" i="1"/>
  <c r="G747" i="1"/>
  <c r="H747" i="1"/>
  <c r="I747" i="1"/>
  <c r="J747" i="1"/>
  <c r="K747" i="1"/>
  <c r="L747" i="1"/>
  <c r="M747" i="1"/>
  <c r="N747" i="1"/>
  <c r="O747" i="1"/>
  <c r="P747" i="1"/>
  <c r="Q747" i="1"/>
  <c r="R747" i="1"/>
  <c r="S747" i="1"/>
  <c r="T747" i="1"/>
  <c r="U747" i="1"/>
  <c r="A748" i="1"/>
  <c r="B748" i="1"/>
  <c r="C748" i="1"/>
  <c r="D748" i="1"/>
  <c r="E748" i="1"/>
  <c r="F748" i="1"/>
  <c r="G748" i="1"/>
  <c r="H748" i="1"/>
  <c r="I748" i="1"/>
  <c r="J748" i="1"/>
  <c r="K748" i="1"/>
  <c r="L748" i="1"/>
  <c r="M748" i="1"/>
  <c r="N748" i="1"/>
  <c r="O748" i="1"/>
  <c r="P748" i="1"/>
  <c r="Q748" i="1"/>
  <c r="R748" i="1"/>
  <c r="S748" i="1"/>
  <c r="T748" i="1"/>
  <c r="U748" i="1"/>
  <c r="A749" i="1"/>
  <c r="B749" i="1"/>
  <c r="C749" i="1"/>
  <c r="D749" i="1"/>
  <c r="E749" i="1"/>
  <c r="F749" i="1"/>
  <c r="G749" i="1"/>
  <c r="H749" i="1"/>
  <c r="I749" i="1"/>
  <c r="J749" i="1"/>
  <c r="K749" i="1"/>
  <c r="L749" i="1"/>
  <c r="M749" i="1"/>
  <c r="N749" i="1"/>
  <c r="O749" i="1"/>
  <c r="P749" i="1"/>
  <c r="Q749" i="1"/>
  <c r="R749" i="1"/>
  <c r="S749" i="1"/>
  <c r="T749" i="1"/>
  <c r="U749" i="1"/>
  <c r="A587" i="1"/>
  <c r="B587" i="1"/>
  <c r="C587" i="1"/>
  <c r="D587" i="1"/>
  <c r="E587" i="1"/>
  <c r="F587" i="1"/>
  <c r="G587" i="1"/>
  <c r="H587" i="1"/>
  <c r="I587" i="1"/>
  <c r="J587" i="1"/>
  <c r="K587" i="1"/>
  <c r="L587" i="1"/>
  <c r="M587" i="1"/>
  <c r="N587" i="1"/>
  <c r="O587" i="1"/>
  <c r="P587" i="1"/>
  <c r="Q587" i="1"/>
  <c r="R587" i="1"/>
  <c r="S587" i="1"/>
  <c r="T587" i="1"/>
  <c r="U587" i="1"/>
  <c r="A645" i="1"/>
  <c r="B645" i="1"/>
  <c r="C645" i="1"/>
  <c r="D645" i="1"/>
  <c r="E645" i="1"/>
  <c r="F645" i="1"/>
  <c r="G645" i="1"/>
  <c r="H645" i="1"/>
  <c r="I645" i="1"/>
  <c r="J645" i="1"/>
  <c r="K645" i="1"/>
  <c r="L645" i="1"/>
  <c r="M645" i="1"/>
  <c r="N645" i="1"/>
  <c r="O645" i="1"/>
  <c r="P645" i="1"/>
  <c r="Q645" i="1"/>
  <c r="R645" i="1"/>
  <c r="S645" i="1"/>
  <c r="T645" i="1"/>
  <c r="U645" i="1"/>
  <c r="A646" i="1"/>
  <c r="B646" i="1"/>
  <c r="C646" i="1"/>
  <c r="D646" i="1"/>
  <c r="E646" i="1"/>
  <c r="F646" i="1"/>
  <c r="G646" i="1"/>
  <c r="H646" i="1"/>
  <c r="I646" i="1"/>
  <c r="J646" i="1"/>
  <c r="K646" i="1"/>
  <c r="L646" i="1"/>
  <c r="M646" i="1"/>
  <c r="N646" i="1"/>
  <c r="O646" i="1"/>
  <c r="P646" i="1"/>
  <c r="Q646" i="1"/>
  <c r="R646" i="1"/>
  <c r="S646" i="1"/>
  <c r="T646" i="1"/>
  <c r="U646" i="1"/>
  <c r="A647" i="1"/>
  <c r="B647" i="1"/>
  <c r="C647" i="1"/>
  <c r="D647" i="1"/>
  <c r="E647" i="1"/>
  <c r="F647" i="1"/>
  <c r="G647" i="1"/>
  <c r="H647" i="1"/>
  <c r="I647" i="1"/>
  <c r="J647" i="1"/>
  <c r="K647" i="1"/>
  <c r="L647" i="1"/>
  <c r="M647" i="1"/>
  <c r="N647" i="1"/>
  <c r="O647" i="1"/>
  <c r="P647" i="1"/>
  <c r="Q647" i="1"/>
  <c r="R647" i="1"/>
  <c r="S647" i="1"/>
  <c r="T647" i="1"/>
  <c r="U647" i="1"/>
  <c r="A644" i="1"/>
  <c r="B644" i="1"/>
  <c r="C644" i="1"/>
  <c r="D644" i="1"/>
  <c r="E644" i="1"/>
  <c r="F644" i="1"/>
  <c r="G644" i="1"/>
  <c r="H644" i="1"/>
  <c r="I644" i="1"/>
  <c r="J644" i="1"/>
  <c r="K644" i="1"/>
  <c r="L644" i="1"/>
  <c r="M644" i="1"/>
  <c r="N644" i="1"/>
  <c r="O644" i="1"/>
  <c r="P644" i="1"/>
  <c r="Q644" i="1"/>
  <c r="R644" i="1"/>
  <c r="S644" i="1"/>
  <c r="T644" i="1"/>
  <c r="U644" i="1"/>
  <c r="A586" i="1"/>
  <c r="B586" i="1"/>
  <c r="C586" i="1"/>
  <c r="D586" i="1"/>
  <c r="E586" i="1"/>
  <c r="F586" i="1"/>
  <c r="G586" i="1"/>
  <c r="H586" i="1"/>
  <c r="I586" i="1"/>
  <c r="J586" i="1"/>
  <c r="K586" i="1"/>
  <c r="L586" i="1"/>
  <c r="M586" i="1"/>
  <c r="N586" i="1"/>
  <c r="O586" i="1"/>
  <c r="P586" i="1"/>
  <c r="Q586" i="1"/>
  <c r="R586" i="1"/>
  <c r="S586" i="1"/>
  <c r="T586" i="1"/>
  <c r="U586" i="1"/>
  <c r="A583" i="1"/>
  <c r="B583" i="1"/>
  <c r="C583" i="1"/>
  <c r="D583" i="1"/>
  <c r="E583" i="1"/>
  <c r="F583" i="1"/>
  <c r="G583" i="1"/>
  <c r="H583" i="1"/>
  <c r="I583" i="1"/>
  <c r="J583" i="1"/>
  <c r="K583" i="1"/>
  <c r="L583" i="1"/>
  <c r="M583" i="1"/>
  <c r="N583" i="1"/>
  <c r="O583" i="1"/>
  <c r="P583" i="1"/>
  <c r="Q583" i="1"/>
  <c r="R583" i="1"/>
  <c r="S583" i="1"/>
  <c r="T583" i="1"/>
  <c r="U583" i="1"/>
  <c r="A584" i="1"/>
  <c r="B584" i="1"/>
  <c r="C584" i="1"/>
  <c r="D584" i="1"/>
  <c r="E584" i="1"/>
  <c r="F584" i="1"/>
  <c r="G584" i="1"/>
  <c r="H584" i="1"/>
  <c r="I584" i="1"/>
  <c r="J584" i="1"/>
  <c r="K584" i="1"/>
  <c r="L584" i="1"/>
  <c r="M584" i="1"/>
  <c r="N584" i="1"/>
  <c r="O584" i="1"/>
  <c r="P584" i="1"/>
  <c r="Q584" i="1"/>
  <c r="R584" i="1"/>
  <c r="S584" i="1"/>
  <c r="T584" i="1"/>
  <c r="U584" i="1"/>
  <c r="A585" i="1"/>
  <c r="B585" i="1"/>
  <c r="C585" i="1"/>
  <c r="D585" i="1"/>
  <c r="E585" i="1"/>
  <c r="F585" i="1"/>
  <c r="G585" i="1"/>
  <c r="H585" i="1"/>
  <c r="I585" i="1"/>
  <c r="J585" i="1"/>
  <c r="K585" i="1"/>
  <c r="L585" i="1"/>
  <c r="M585" i="1"/>
  <c r="N585" i="1"/>
  <c r="O585" i="1"/>
  <c r="P585" i="1"/>
  <c r="Q585" i="1"/>
  <c r="R585" i="1"/>
  <c r="S585" i="1"/>
  <c r="T585" i="1"/>
  <c r="U585" i="1"/>
  <c r="A522" i="1"/>
  <c r="B522" i="1"/>
  <c r="C522" i="1"/>
  <c r="D522" i="1"/>
  <c r="E522" i="1"/>
  <c r="F522" i="1"/>
  <c r="G522" i="1"/>
  <c r="H522" i="1"/>
  <c r="I522" i="1"/>
  <c r="J522" i="1"/>
  <c r="K522" i="1"/>
  <c r="L522" i="1"/>
  <c r="M522" i="1"/>
  <c r="N522" i="1"/>
  <c r="O522" i="1"/>
  <c r="P522" i="1"/>
  <c r="Q522" i="1"/>
  <c r="R522" i="1"/>
  <c r="S522" i="1"/>
  <c r="T522" i="1"/>
  <c r="U522" i="1"/>
  <c r="A523" i="1"/>
  <c r="B523" i="1"/>
  <c r="C523" i="1"/>
  <c r="D523" i="1"/>
  <c r="E523" i="1"/>
  <c r="F523" i="1"/>
  <c r="G523" i="1"/>
  <c r="H523" i="1"/>
  <c r="I523" i="1"/>
  <c r="J523" i="1"/>
  <c r="K523" i="1"/>
  <c r="L523" i="1"/>
  <c r="M523" i="1"/>
  <c r="N523" i="1"/>
  <c r="O523" i="1"/>
  <c r="P523" i="1"/>
  <c r="Q523" i="1"/>
  <c r="R523" i="1"/>
  <c r="S523" i="1"/>
  <c r="T523" i="1"/>
  <c r="U523" i="1"/>
  <c r="A524" i="1"/>
  <c r="B524" i="1"/>
  <c r="C524" i="1"/>
  <c r="D524" i="1"/>
  <c r="E524" i="1"/>
  <c r="F524" i="1"/>
  <c r="G524" i="1"/>
  <c r="H524" i="1"/>
  <c r="I524" i="1"/>
  <c r="J524" i="1"/>
  <c r="K524" i="1"/>
  <c r="L524" i="1"/>
  <c r="M524" i="1"/>
  <c r="N524" i="1"/>
  <c r="O524" i="1"/>
  <c r="P524" i="1"/>
  <c r="Q524" i="1"/>
  <c r="R524" i="1"/>
  <c r="S524" i="1"/>
  <c r="T524" i="1"/>
  <c r="U524" i="1"/>
  <c r="A521" i="1"/>
  <c r="B521" i="1"/>
  <c r="C521" i="1"/>
  <c r="D521" i="1"/>
  <c r="E521" i="1"/>
  <c r="F521" i="1"/>
  <c r="G521" i="1"/>
  <c r="H521" i="1"/>
  <c r="I521" i="1"/>
  <c r="J521" i="1"/>
  <c r="K521" i="1"/>
  <c r="L521" i="1"/>
  <c r="M521" i="1"/>
  <c r="N521" i="1"/>
  <c r="O521" i="1"/>
  <c r="Q521" i="1"/>
  <c r="R521" i="1"/>
  <c r="S521" i="1"/>
  <c r="T521" i="1"/>
  <c r="U521" i="1"/>
  <c r="A462" i="1"/>
  <c r="B462" i="1"/>
  <c r="C462" i="1"/>
  <c r="D462" i="1"/>
  <c r="E462" i="1"/>
  <c r="F462" i="1"/>
  <c r="G462" i="1"/>
  <c r="H462" i="1"/>
  <c r="I462" i="1"/>
  <c r="J462" i="1"/>
  <c r="K462" i="1"/>
  <c r="L462" i="1"/>
  <c r="M462" i="1"/>
  <c r="N462" i="1"/>
  <c r="O462" i="1"/>
  <c r="P462" i="1"/>
  <c r="Q462" i="1"/>
  <c r="R462" i="1"/>
  <c r="S462" i="1"/>
  <c r="T462" i="1"/>
  <c r="U462" i="1"/>
  <c r="A463" i="1"/>
  <c r="B463" i="1"/>
  <c r="C463" i="1"/>
  <c r="D463" i="1"/>
  <c r="E463" i="1"/>
  <c r="F463" i="1"/>
  <c r="G463" i="1"/>
  <c r="H463" i="1"/>
  <c r="I463" i="1"/>
  <c r="J463" i="1"/>
  <c r="K463" i="1"/>
  <c r="L463" i="1"/>
  <c r="M463" i="1"/>
  <c r="N463" i="1"/>
  <c r="O463" i="1"/>
  <c r="P463" i="1"/>
  <c r="Q463" i="1"/>
  <c r="R463" i="1"/>
  <c r="S463" i="1"/>
  <c r="T463" i="1"/>
  <c r="U463" i="1"/>
  <c r="A460" i="1"/>
  <c r="B460" i="1"/>
  <c r="C460" i="1"/>
  <c r="D460" i="1"/>
  <c r="E460" i="1"/>
  <c r="F460" i="1"/>
  <c r="G460" i="1"/>
  <c r="H460" i="1"/>
  <c r="I460" i="1"/>
  <c r="J460" i="1"/>
  <c r="K460" i="1"/>
  <c r="L460" i="1"/>
  <c r="M460" i="1"/>
  <c r="N460" i="1"/>
  <c r="O460" i="1"/>
  <c r="P460" i="1"/>
  <c r="Q460" i="1"/>
  <c r="R460" i="1"/>
  <c r="S460" i="1"/>
  <c r="T460" i="1"/>
  <c r="U460" i="1"/>
  <c r="A461" i="1"/>
  <c r="B461" i="1"/>
  <c r="C461" i="1"/>
  <c r="D461" i="1"/>
  <c r="E461" i="1"/>
  <c r="F461" i="1"/>
  <c r="G461" i="1"/>
  <c r="H461" i="1"/>
  <c r="I461" i="1"/>
  <c r="J461" i="1"/>
  <c r="K461" i="1"/>
  <c r="M461" i="1"/>
  <c r="N461" i="1"/>
  <c r="O461" i="1"/>
  <c r="P461" i="1"/>
  <c r="Q461" i="1"/>
  <c r="R461" i="1"/>
  <c r="S461" i="1"/>
  <c r="U461" i="1"/>
  <c r="A196" i="1"/>
  <c r="B196" i="1"/>
  <c r="C196" i="1"/>
  <c r="D196" i="1"/>
  <c r="E196" i="1"/>
  <c r="F196" i="1"/>
  <c r="G196" i="1"/>
  <c r="H196" i="1"/>
  <c r="I196" i="1"/>
  <c r="J196" i="1"/>
  <c r="K196" i="1"/>
  <c r="L196" i="1"/>
  <c r="M196" i="1"/>
  <c r="N196" i="1"/>
  <c r="O196" i="1"/>
  <c r="P196" i="1"/>
  <c r="Q196" i="1"/>
  <c r="R196" i="1"/>
  <c r="S196" i="1"/>
  <c r="T196" i="1"/>
  <c r="U196" i="1"/>
  <c r="A195" i="1"/>
  <c r="B195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O195" i="1"/>
  <c r="P195" i="1"/>
  <c r="Q195" i="1"/>
  <c r="R195" i="1"/>
  <c r="S195" i="1"/>
  <c r="T195" i="1"/>
  <c r="U195" i="1"/>
  <c r="A1387" i="1"/>
  <c r="B1387" i="1"/>
  <c r="C1387" i="1"/>
  <c r="D1387" i="1"/>
  <c r="E1387" i="1"/>
  <c r="F1387" i="1"/>
  <c r="G1387" i="1"/>
  <c r="H1387" i="1"/>
  <c r="I1387" i="1"/>
  <c r="J1387" i="1"/>
  <c r="K1387" i="1"/>
  <c r="L1387" i="1"/>
  <c r="M1387" i="1"/>
  <c r="N1387" i="1"/>
  <c r="O1387" i="1"/>
  <c r="P1387" i="1"/>
  <c r="Q1387" i="1"/>
  <c r="R1387" i="1"/>
  <c r="S1387" i="1"/>
  <c r="T1387" i="1"/>
  <c r="U1387" i="1"/>
  <c r="A192" i="1"/>
  <c r="B192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O192" i="1"/>
  <c r="P192" i="1"/>
  <c r="Q192" i="1"/>
  <c r="R192" i="1"/>
  <c r="S192" i="1"/>
  <c r="T192" i="1"/>
  <c r="U192" i="1"/>
  <c r="A194" i="1"/>
  <c r="B194" i="1"/>
  <c r="C194" i="1"/>
  <c r="D194" i="1"/>
  <c r="E194" i="1"/>
  <c r="F194" i="1"/>
  <c r="G194" i="1"/>
  <c r="H194" i="1"/>
  <c r="I194" i="1"/>
  <c r="J194" i="1"/>
  <c r="K194" i="1"/>
  <c r="L194" i="1"/>
  <c r="M194" i="1"/>
  <c r="N194" i="1"/>
  <c r="O194" i="1"/>
  <c r="P194" i="1"/>
  <c r="Q194" i="1"/>
  <c r="R194" i="1"/>
  <c r="S194" i="1"/>
  <c r="T194" i="1"/>
  <c r="U194" i="1"/>
  <c r="A193" i="1"/>
  <c r="B193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O193" i="1"/>
  <c r="P193" i="1"/>
  <c r="Q193" i="1"/>
  <c r="R193" i="1"/>
  <c r="S193" i="1"/>
  <c r="T193" i="1"/>
  <c r="U193" i="1"/>
  <c r="A1589" i="1"/>
  <c r="B1589" i="1"/>
  <c r="C1589" i="1"/>
  <c r="D1589" i="1"/>
  <c r="E1589" i="1"/>
  <c r="F1589" i="1"/>
  <c r="G1589" i="1"/>
  <c r="H1589" i="1"/>
  <c r="I1589" i="1"/>
  <c r="J1589" i="1"/>
  <c r="K1589" i="1"/>
  <c r="L1589" i="1"/>
  <c r="M1589" i="1"/>
  <c r="N1589" i="1"/>
  <c r="O1589" i="1"/>
  <c r="P1589" i="1"/>
  <c r="Q1589" i="1"/>
  <c r="R1589" i="1"/>
  <c r="S1589" i="1"/>
  <c r="T1589" i="1"/>
  <c r="U1589" i="1"/>
  <c r="A80" i="1"/>
  <c r="B80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A81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A82" i="1"/>
  <c r="B82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A83" i="1"/>
  <c r="B83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A84" i="1"/>
  <c r="B84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A85" i="1"/>
  <c r="B85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U85" i="1"/>
  <c r="A1455" i="1"/>
  <c r="B1455" i="1"/>
  <c r="C1455" i="1"/>
  <c r="D1455" i="1"/>
  <c r="E1455" i="1"/>
  <c r="F1455" i="1"/>
  <c r="G1455" i="1"/>
  <c r="H1455" i="1"/>
  <c r="I1455" i="1"/>
  <c r="J1455" i="1"/>
  <c r="K1455" i="1"/>
  <c r="L1455" i="1"/>
  <c r="M1455" i="1"/>
  <c r="N1455" i="1"/>
  <c r="O1455" i="1"/>
  <c r="P1455" i="1"/>
  <c r="Q1455" i="1"/>
  <c r="R1455" i="1"/>
  <c r="S1455" i="1"/>
  <c r="T1455" i="1"/>
  <c r="U1455" i="1"/>
  <c r="A1454" i="1"/>
  <c r="B1454" i="1"/>
  <c r="C1454" i="1"/>
  <c r="D1454" i="1"/>
  <c r="E1454" i="1"/>
  <c r="F1454" i="1"/>
  <c r="G1454" i="1"/>
  <c r="H1454" i="1"/>
  <c r="I1454" i="1"/>
  <c r="J1454" i="1"/>
  <c r="K1454" i="1"/>
  <c r="L1454" i="1"/>
  <c r="M1454" i="1"/>
  <c r="N1454" i="1"/>
  <c r="O1454" i="1"/>
  <c r="Q1454" i="1"/>
  <c r="R1454" i="1"/>
  <c r="S1454" i="1"/>
  <c r="U1454" i="1"/>
  <c r="A11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A1590" i="1"/>
  <c r="B1590" i="1"/>
  <c r="C1590" i="1"/>
  <c r="D1590" i="1"/>
  <c r="E1590" i="1"/>
  <c r="F1590" i="1"/>
  <c r="G1590" i="1"/>
  <c r="H1590" i="1"/>
  <c r="I1590" i="1"/>
  <c r="J1590" i="1"/>
  <c r="K1590" i="1"/>
  <c r="L1590" i="1"/>
  <c r="M1590" i="1"/>
  <c r="N1590" i="1"/>
  <c r="O1590" i="1"/>
  <c r="P1590" i="1"/>
  <c r="Q1590" i="1"/>
  <c r="R1590" i="1"/>
  <c r="S1590" i="1"/>
  <c r="T1590" i="1"/>
  <c r="U1590" i="1"/>
  <c r="A1591" i="1"/>
  <c r="B1591" i="1"/>
  <c r="C1591" i="1"/>
  <c r="D1591" i="1"/>
  <c r="E1591" i="1"/>
  <c r="F1591" i="1"/>
  <c r="G1591" i="1"/>
  <c r="H1591" i="1"/>
  <c r="I1591" i="1"/>
  <c r="J1591" i="1"/>
  <c r="K1591" i="1"/>
  <c r="L1591" i="1"/>
  <c r="M1591" i="1"/>
  <c r="N1591" i="1"/>
  <c r="O1591" i="1"/>
  <c r="P1591" i="1"/>
  <c r="Q1591" i="1"/>
  <c r="R1591" i="1"/>
  <c r="S1591" i="1"/>
  <c r="T1591" i="1"/>
  <c r="U1591" i="1"/>
  <c r="A1521" i="1"/>
  <c r="B1521" i="1"/>
  <c r="C1521" i="1"/>
  <c r="D1521" i="1"/>
  <c r="E1521" i="1"/>
  <c r="F1521" i="1"/>
  <c r="G1521" i="1"/>
  <c r="H1521" i="1"/>
  <c r="I1521" i="1"/>
  <c r="J1521" i="1"/>
  <c r="K1521" i="1"/>
  <c r="M1521" i="1"/>
  <c r="N1521" i="1"/>
  <c r="O1521" i="1"/>
  <c r="P1521" i="1"/>
  <c r="Q1521" i="1"/>
  <c r="R1521" i="1"/>
  <c r="S1521" i="1"/>
  <c r="U1521" i="1"/>
  <c r="A1520" i="1"/>
  <c r="B1520" i="1"/>
  <c r="C1520" i="1"/>
  <c r="D1520" i="1"/>
  <c r="E1520" i="1"/>
  <c r="F1520" i="1"/>
  <c r="G1520" i="1"/>
  <c r="H1520" i="1"/>
  <c r="I1520" i="1"/>
  <c r="J1520" i="1"/>
  <c r="K1520" i="1"/>
  <c r="L1520" i="1"/>
  <c r="M1520" i="1"/>
  <c r="N1520" i="1"/>
  <c r="O1520" i="1"/>
  <c r="P1520" i="1"/>
  <c r="Q1520" i="1"/>
  <c r="R1520" i="1"/>
  <c r="S1520" i="1"/>
  <c r="T1520" i="1"/>
  <c r="U1520" i="1"/>
  <c r="A1519" i="1"/>
  <c r="B1519" i="1"/>
  <c r="C1519" i="1"/>
  <c r="D1519" i="1"/>
  <c r="E1519" i="1"/>
  <c r="F1519" i="1"/>
  <c r="G1519" i="1"/>
  <c r="H1519" i="1"/>
  <c r="I1519" i="1"/>
  <c r="J1519" i="1"/>
  <c r="K1519" i="1"/>
  <c r="L1519" i="1"/>
  <c r="M1519" i="1"/>
  <c r="N1519" i="1"/>
  <c r="O1519" i="1"/>
  <c r="P1519" i="1"/>
  <c r="Q1519" i="1"/>
  <c r="R1519" i="1"/>
  <c r="S1519" i="1"/>
  <c r="T1519" i="1"/>
  <c r="U1519" i="1"/>
  <c r="A1457" i="1"/>
  <c r="B1457" i="1"/>
  <c r="C1457" i="1"/>
  <c r="D1457" i="1"/>
  <c r="E1457" i="1"/>
  <c r="F1457" i="1"/>
  <c r="G1457" i="1"/>
  <c r="H1457" i="1"/>
  <c r="I1457" i="1"/>
  <c r="J1457" i="1"/>
  <c r="K1457" i="1"/>
  <c r="M1457" i="1"/>
  <c r="N1457" i="1"/>
  <c r="O1457" i="1"/>
  <c r="P1457" i="1"/>
  <c r="Q1457" i="1"/>
  <c r="R1457" i="1"/>
  <c r="S1457" i="1"/>
  <c r="T1457" i="1"/>
  <c r="U1457" i="1"/>
  <c r="A1456" i="1"/>
  <c r="B1456" i="1"/>
  <c r="C1456" i="1"/>
  <c r="D1456" i="1"/>
  <c r="E1456" i="1"/>
  <c r="F1456" i="1"/>
  <c r="G1456" i="1"/>
  <c r="H1456" i="1"/>
  <c r="I1456" i="1"/>
  <c r="J1456" i="1"/>
  <c r="K1456" i="1"/>
  <c r="L1456" i="1"/>
  <c r="M1456" i="1"/>
  <c r="N1456" i="1"/>
  <c r="O1456" i="1"/>
  <c r="P1456" i="1"/>
  <c r="Q1456" i="1"/>
  <c r="R1456" i="1"/>
  <c r="S1456" i="1"/>
  <c r="U1456" i="1"/>
  <c r="A574" i="1"/>
  <c r="B574" i="1"/>
  <c r="C574" i="1"/>
  <c r="D574" i="1"/>
  <c r="E574" i="1"/>
  <c r="F574" i="1"/>
  <c r="G574" i="1"/>
  <c r="H574" i="1"/>
  <c r="I574" i="1"/>
  <c r="J574" i="1"/>
  <c r="K574" i="1"/>
  <c r="L574" i="1"/>
  <c r="M574" i="1"/>
  <c r="N574" i="1"/>
  <c r="O574" i="1"/>
  <c r="P574" i="1"/>
  <c r="Q574" i="1"/>
  <c r="R574" i="1"/>
  <c r="S574" i="1"/>
  <c r="T574" i="1"/>
  <c r="U574" i="1"/>
  <c r="A1389" i="1"/>
  <c r="B1389" i="1"/>
  <c r="C1389" i="1"/>
  <c r="D1389" i="1"/>
  <c r="E1389" i="1"/>
  <c r="F1389" i="1"/>
  <c r="G1389" i="1"/>
  <c r="H1389" i="1"/>
  <c r="I1389" i="1"/>
  <c r="J1389" i="1"/>
  <c r="K1389" i="1"/>
  <c r="L1389" i="1"/>
  <c r="M1389" i="1"/>
  <c r="N1389" i="1"/>
  <c r="O1389" i="1"/>
  <c r="P1389" i="1"/>
  <c r="Q1389" i="1"/>
  <c r="R1389" i="1"/>
  <c r="S1389" i="1"/>
  <c r="T1389" i="1"/>
  <c r="U1389" i="1"/>
  <c r="A1390" i="1"/>
  <c r="B1390" i="1"/>
  <c r="C1390" i="1"/>
  <c r="D1390" i="1"/>
  <c r="E1390" i="1"/>
  <c r="F1390" i="1"/>
  <c r="G1390" i="1"/>
  <c r="H1390" i="1"/>
  <c r="I1390" i="1"/>
  <c r="J1390" i="1"/>
  <c r="K1390" i="1"/>
  <c r="L1390" i="1"/>
  <c r="M1390" i="1"/>
  <c r="N1390" i="1"/>
  <c r="O1390" i="1"/>
  <c r="P1390" i="1"/>
  <c r="Q1390" i="1"/>
  <c r="R1390" i="1"/>
  <c r="S1390" i="1"/>
  <c r="T1390" i="1"/>
  <c r="U1390" i="1"/>
  <c r="A1329" i="1"/>
  <c r="B1329" i="1"/>
  <c r="C1329" i="1"/>
  <c r="D1329" i="1"/>
  <c r="E1329" i="1"/>
  <c r="F1329" i="1"/>
  <c r="G1329" i="1"/>
  <c r="H1329" i="1"/>
  <c r="I1329" i="1"/>
  <c r="J1329" i="1"/>
  <c r="K1329" i="1"/>
  <c r="L1329" i="1"/>
  <c r="M1329" i="1"/>
  <c r="N1329" i="1"/>
  <c r="O1329" i="1"/>
  <c r="P1329" i="1"/>
  <c r="Q1329" i="1"/>
  <c r="R1329" i="1"/>
  <c r="S1329" i="1"/>
  <c r="T1329" i="1"/>
  <c r="U1329" i="1"/>
  <c r="A1330" i="1"/>
  <c r="B1330" i="1"/>
  <c r="C1330" i="1"/>
  <c r="D1330" i="1"/>
  <c r="E1330" i="1"/>
  <c r="F1330" i="1"/>
  <c r="G1330" i="1"/>
  <c r="H1330" i="1"/>
  <c r="I1330" i="1"/>
  <c r="J1330" i="1"/>
  <c r="K1330" i="1"/>
  <c r="L1330" i="1"/>
  <c r="M1330" i="1"/>
  <c r="N1330" i="1"/>
  <c r="O1330" i="1"/>
  <c r="P1330" i="1"/>
  <c r="Q1330" i="1"/>
  <c r="R1330" i="1"/>
  <c r="S1330" i="1"/>
  <c r="T1330" i="1"/>
  <c r="U1330" i="1"/>
  <c r="A1331" i="1"/>
  <c r="B1331" i="1"/>
  <c r="C1331" i="1"/>
  <c r="D1331" i="1"/>
  <c r="E1331" i="1"/>
  <c r="F1331" i="1"/>
  <c r="G1331" i="1"/>
  <c r="H1331" i="1"/>
  <c r="I1331" i="1"/>
  <c r="J1331" i="1"/>
  <c r="K1331" i="1"/>
  <c r="L1331" i="1"/>
  <c r="M1331" i="1"/>
  <c r="N1331" i="1"/>
  <c r="O1331" i="1"/>
  <c r="P1331" i="1"/>
  <c r="Q1331" i="1"/>
  <c r="R1331" i="1"/>
  <c r="S1331" i="1"/>
  <c r="T1331" i="1"/>
  <c r="U1331" i="1"/>
  <c r="A933" i="1"/>
  <c r="B933" i="1"/>
  <c r="C933" i="1"/>
  <c r="D933" i="1"/>
  <c r="E933" i="1"/>
  <c r="F933" i="1"/>
  <c r="G933" i="1"/>
  <c r="H933" i="1"/>
  <c r="I933" i="1"/>
  <c r="J933" i="1"/>
  <c r="K933" i="1"/>
  <c r="L933" i="1"/>
  <c r="M933" i="1"/>
  <c r="N933" i="1"/>
  <c r="O933" i="1"/>
  <c r="P933" i="1"/>
  <c r="Q933" i="1"/>
  <c r="R933" i="1"/>
  <c r="S933" i="1"/>
  <c r="T933" i="1"/>
  <c r="U933" i="1"/>
  <c r="A1388" i="1"/>
  <c r="B1388" i="1"/>
  <c r="C1388" i="1"/>
  <c r="D1388" i="1"/>
  <c r="E1388" i="1"/>
  <c r="F1388" i="1"/>
  <c r="G1388" i="1"/>
  <c r="H1388" i="1"/>
  <c r="I1388" i="1"/>
  <c r="J1388" i="1"/>
  <c r="K1388" i="1"/>
  <c r="M1388" i="1"/>
  <c r="N1388" i="1"/>
  <c r="O1388" i="1"/>
  <c r="Q1388" i="1"/>
  <c r="R1388" i="1"/>
  <c r="S1388" i="1"/>
  <c r="T1388" i="1"/>
  <c r="U1388" i="1"/>
  <c r="A1326" i="1"/>
  <c r="B1326" i="1"/>
  <c r="C1326" i="1"/>
  <c r="D1326" i="1"/>
  <c r="E1326" i="1"/>
  <c r="F1326" i="1"/>
  <c r="G1326" i="1"/>
  <c r="H1326" i="1"/>
  <c r="I1326" i="1"/>
  <c r="J1326" i="1"/>
  <c r="K1326" i="1"/>
  <c r="L1326" i="1"/>
  <c r="M1326" i="1"/>
  <c r="N1326" i="1"/>
  <c r="O1326" i="1"/>
  <c r="Q1326" i="1"/>
  <c r="R1326" i="1"/>
  <c r="S1326" i="1"/>
  <c r="U1326" i="1"/>
  <c r="A1327" i="1"/>
  <c r="B1327" i="1"/>
  <c r="C1327" i="1"/>
  <c r="D1327" i="1"/>
  <c r="E1327" i="1"/>
  <c r="F1327" i="1"/>
  <c r="G1327" i="1"/>
  <c r="H1327" i="1"/>
  <c r="I1327" i="1"/>
  <c r="J1327" i="1"/>
  <c r="K1327" i="1"/>
  <c r="L1327" i="1"/>
  <c r="M1327" i="1"/>
  <c r="N1327" i="1"/>
  <c r="O1327" i="1"/>
  <c r="Q1327" i="1"/>
  <c r="R1327" i="1"/>
  <c r="S1327" i="1"/>
  <c r="U1327" i="1"/>
  <c r="A1328" i="1"/>
  <c r="B1328" i="1"/>
  <c r="C1328" i="1"/>
  <c r="D1328" i="1"/>
  <c r="E1328" i="1"/>
  <c r="F1328" i="1"/>
  <c r="G1328" i="1"/>
  <c r="H1328" i="1"/>
  <c r="I1328" i="1"/>
  <c r="J1328" i="1"/>
  <c r="K1328" i="1"/>
  <c r="L1328" i="1"/>
  <c r="M1328" i="1"/>
  <c r="N1328" i="1"/>
  <c r="O1328" i="1"/>
  <c r="Q1328" i="1"/>
  <c r="R1328" i="1"/>
  <c r="S1328" i="1"/>
  <c r="U1328" i="1"/>
  <c r="A1325" i="1"/>
  <c r="B1325" i="1"/>
  <c r="C1325" i="1"/>
  <c r="D1325" i="1"/>
  <c r="E1325" i="1"/>
  <c r="F1325" i="1"/>
  <c r="G1325" i="1"/>
  <c r="H1325" i="1"/>
  <c r="I1325" i="1"/>
  <c r="J1325" i="1"/>
  <c r="K1325" i="1"/>
  <c r="L1325" i="1"/>
  <c r="M1325" i="1"/>
  <c r="N1325" i="1"/>
  <c r="O1325" i="1"/>
  <c r="Q1325" i="1"/>
  <c r="R1325" i="1"/>
  <c r="S1325" i="1"/>
  <c r="U1325" i="1"/>
  <c r="A1151" i="1"/>
  <c r="B1151" i="1"/>
  <c r="C1151" i="1"/>
  <c r="D1151" i="1"/>
  <c r="E1151" i="1"/>
  <c r="F1151" i="1"/>
  <c r="G1151" i="1"/>
  <c r="H1151" i="1"/>
  <c r="I1151" i="1"/>
  <c r="J1151" i="1"/>
  <c r="K1151" i="1"/>
  <c r="L1151" i="1"/>
  <c r="M1151" i="1"/>
  <c r="N1151" i="1"/>
  <c r="O1151" i="1"/>
  <c r="P1151" i="1"/>
  <c r="Q1151" i="1"/>
  <c r="R1151" i="1"/>
  <c r="S1151" i="1"/>
  <c r="T1151" i="1"/>
  <c r="U1151" i="1"/>
  <c r="A1148" i="1"/>
  <c r="B1148" i="1"/>
  <c r="C1148" i="1"/>
  <c r="D1148" i="1"/>
  <c r="E1148" i="1"/>
  <c r="F1148" i="1"/>
  <c r="G1148" i="1"/>
  <c r="H1148" i="1"/>
  <c r="I1148" i="1"/>
  <c r="J1148" i="1"/>
  <c r="K1148" i="1"/>
  <c r="L1148" i="1"/>
  <c r="M1148" i="1"/>
  <c r="N1148" i="1"/>
  <c r="O1148" i="1"/>
  <c r="P1148" i="1"/>
  <c r="Q1148" i="1"/>
  <c r="R1148" i="1"/>
  <c r="S1148" i="1"/>
  <c r="T1148" i="1"/>
  <c r="U1148" i="1"/>
  <c r="A1150" i="1"/>
  <c r="B1150" i="1"/>
  <c r="C1150" i="1"/>
  <c r="D1150" i="1"/>
  <c r="E1150" i="1"/>
  <c r="F1150" i="1"/>
  <c r="G1150" i="1"/>
  <c r="H1150" i="1"/>
  <c r="I1150" i="1"/>
  <c r="J1150" i="1"/>
  <c r="K1150" i="1"/>
  <c r="L1150" i="1"/>
  <c r="M1150" i="1"/>
  <c r="N1150" i="1"/>
  <c r="O1150" i="1"/>
  <c r="P1150" i="1"/>
  <c r="Q1150" i="1"/>
  <c r="R1150" i="1"/>
  <c r="S1150" i="1"/>
  <c r="T1150" i="1"/>
  <c r="U1150" i="1"/>
  <c r="A1149" i="1"/>
  <c r="B1149" i="1"/>
  <c r="C1149" i="1"/>
  <c r="D1149" i="1"/>
  <c r="E1149" i="1"/>
  <c r="F1149" i="1"/>
  <c r="G1149" i="1"/>
  <c r="H1149" i="1"/>
  <c r="I1149" i="1"/>
  <c r="J1149" i="1"/>
  <c r="K1149" i="1"/>
  <c r="L1149" i="1"/>
  <c r="M1149" i="1"/>
  <c r="N1149" i="1"/>
  <c r="O1149" i="1"/>
  <c r="P1149" i="1"/>
  <c r="Q1149" i="1"/>
  <c r="R1149" i="1"/>
  <c r="S1149" i="1"/>
  <c r="T1149" i="1"/>
  <c r="U1149" i="1"/>
  <c r="A1096" i="1"/>
  <c r="B1096" i="1"/>
  <c r="C1096" i="1"/>
  <c r="D1096" i="1"/>
  <c r="E1096" i="1"/>
  <c r="F1096" i="1"/>
  <c r="G1096" i="1"/>
  <c r="H1096" i="1"/>
  <c r="I1096" i="1"/>
  <c r="J1096" i="1"/>
  <c r="K1096" i="1"/>
  <c r="L1096" i="1"/>
  <c r="M1096" i="1"/>
  <c r="N1096" i="1"/>
  <c r="O1096" i="1"/>
  <c r="Q1096" i="1"/>
  <c r="R1096" i="1"/>
  <c r="S1096" i="1"/>
  <c r="T1096" i="1"/>
  <c r="U1096" i="1"/>
  <c r="A1097" i="1"/>
  <c r="B1097" i="1"/>
  <c r="C1097" i="1"/>
  <c r="D1097" i="1"/>
  <c r="E1097" i="1"/>
  <c r="F1097" i="1"/>
  <c r="G1097" i="1"/>
  <c r="H1097" i="1"/>
  <c r="I1097" i="1"/>
  <c r="J1097" i="1"/>
  <c r="K1097" i="1"/>
  <c r="L1097" i="1"/>
  <c r="M1097" i="1"/>
  <c r="N1097" i="1"/>
  <c r="O1097" i="1"/>
  <c r="P1097" i="1"/>
  <c r="Q1097" i="1"/>
  <c r="R1097" i="1"/>
  <c r="S1097" i="1"/>
  <c r="T1097" i="1"/>
  <c r="U1097" i="1"/>
  <c r="A1098" i="1"/>
  <c r="B1098" i="1"/>
  <c r="C1098" i="1"/>
  <c r="D1098" i="1"/>
  <c r="E1098" i="1"/>
  <c r="F1098" i="1"/>
  <c r="G1098" i="1"/>
  <c r="H1098" i="1"/>
  <c r="I1098" i="1"/>
  <c r="J1098" i="1"/>
  <c r="K1098" i="1"/>
  <c r="L1098" i="1"/>
  <c r="M1098" i="1"/>
  <c r="N1098" i="1"/>
  <c r="O1098" i="1"/>
  <c r="P1098" i="1"/>
  <c r="Q1098" i="1"/>
  <c r="R1098" i="1"/>
  <c r="S1098" i="1"/>
  <c r="T1098" i="1"/>
  <c r="U1098" i="1"/>
  <c r="A1099" i="1"/>
  <c r="B1099" i="1"/>
  <c r="C1099" i="1"/>
  <c r="D1099" i="1"/>
  <c r="E1099" i="1"/>
  <c r="F1099" i="1"/>
  <c r="G1099" i="1"/>
  <c r="H1099" i="1"/>
  <c r="I1099" i="1"/>
  <c r="J1099" i="1"/>
  <c r="K1099" i="1"/>
  <c r="L1099" i="1"/>
  <c r="M1099" i="1"/>
  <c r="N1099" i="1"/>
  <c r="O1099" i="1"/>
  <c r="P1099" i="1"/>
  <c r="Q1099" i="1"/>
  <c r="R1099" i="1"/>
  <c r="S1099" i="1"/>
  <c r="T1099" i="1"/>
  <c r="U1099" i="1"/>
  <c r="A932" i="1"/>
  <c r="B932" i="1"/>
  <c r="C932" i="1"/>
  <c r="D932" i="1"/>
  <c r="E932" i="1"/>
  <c r="F932" i="1"/>
  <c r="G932" i="1"/>
  <c r="H932" i="1"/>
  <c r="I932" i="1"/>
  <c r="J932" i="1"/>
  <c r="K932" i="1"/>
  <c r="L932" i="1"/>
  <c r="M932" i="1"/>
  <c r="N932" i="1"/>
  <c r="O932" i="1"/>
  <c r="P932" i="1"/>
  <c r="Q932" i="1"/>
  <c r="R932" i="1"/>
  <c r="S932" i="1"/>
  <c r="T932" i="1"/>
  <c r="U932" i="1"/>
  <c r="A929" i="1"/>
  <c r="B929" i="1"/>
  <c r="C929" i="1"/>
  <c r="D929" i="1"/>
  <c r="E929" i="1"/>
  <c r="F929" i="1"/>
  <c r="G929" i="1"/>
  <c r="H929" i="1"/>
  <c r="I929" i="1"/>
  <c r="J929" i="1"/>
  <c r="K929" i="1"/>
  <c r="L929" i="1"/>
  <c r="M929" i="1"/>
  <c r="N929" i="1"/>
  <c r="O929" i="1"/>
  <c r="P929" i="1"/>
  <c r="Q929" i="1"/>
  <c r="R929" i="1"/>
  <c r="S929" i="1"/>
  <c r="T929" i="1"/>
  <c r="U929" i="1"/>
  <c r="A926" i="1"/>
  <c r="B926" i="1"/>
  <c r="C926" i="1"/>
  <c r="D926" i="1"/>
  <c r="E926" i="1"/>
  <c r="F926" i="1"/>
  <c r="G926" i="1"/>
  <c r="H926" i="1"/>
  <c r="I926" i="1"/>
  <c r="J926" i="1"/>
  <c r="K926" i="1"/>
  <c r="L926" i="1"/>
  <c r="M926" i="1"/>
  <c r="N926" i="1"/>
  <c r="O926" i="1"/>
  <c r="P926" i="1"/>
  <c r="Q926" i="1"/>
  <c r="R926" i="1"/>
  <c r="S926" i="1"/>
  <c r="T926" i="1"/>
  <c r="U926" i="1"/>
  <c r="A931" i="1"/>
  <c r="B931" i="1"/>
  <c r="C931" i="1"/>
  <c r="D931" i="1"/>
  <c r="E931" i="1"/>
  <c r="F931" i="1"/>
  <c r="G931" i="1"/>
  <c r="H931" i="1"/>
  <c r="I931" i="1"/>
  <c r="J931" i="1"/>
  <c r="K931" i="1"/>
  <c r="L931" i="1"/>
  <c r="M931" i="1"/>
  <c r="N931" i="1"/>
  <c r="O931" i="1"/>
  <c r="P931" i="1"/>
  <c r="Q931" i="1"/>
  <c r="R931" i="1"/>
  <c r="S931" i="1"/>
  <c r="T931" i="1"/>
  <c r="U931" i="1"/>
  <c r="A927" i="1"/>
  <c r="B927" i="1"/>
  <c r="C927" i="1"/>
  <c r="D927" i="1"/>
  <c r="E927" i="1"/>
  <c r="F927" i="1"/>
  <c r="G927" i="1"/>
  <c r="H927" i="1"/>
  <c r="I927" i="1"/>
  <c r="J927" i="1"/>
  <c r="K927" i="1"/>
  <c r="L927" i="1"/>
  <c r="M927" i="1"/>
  <c r="N927" i="1"/>
  <c r="O927" i="1"/>
  <c r="P927" i="1"/>
  <c r="Q927" i="1"/>
  <c r="R927" i="1"/>
  <c r="S927" i="1"/>
  <c r="T927" i="1"/>
  <c r="U927" i="1"/>
  <c r="A930" i="1"/>
  <c r="B930" i="1"/>
  <c r="C930" i="1"/>
  <c r="D930" i="1"/>
  <c r="E930" i="1"/>
  <c r="F930" i="1"/>
  <c r="G930" i="1"/>
  <c r="H930" i="1"/>
  <c r="I930" i="1"/>
  <c r="J930" i="1"/>
  <c r="K930" i="1"/>
  <c r="L930" i="1"/>
  <c r="M930" i="1"/>
  <c r="N930" i="1"/>
  <c r="O930" i="1"/>
  <c r="P930" i="1"/>
  <c r="Q930" i="1"/>
  <c r="R930" i="1"/>
  <c r="S930" i="1"/>
  <c r="T930" i="1"/>
  <c r="U930" i="1"/>
  <c r="A928" i="1"/>
  <c r="B928" i="1"/>
  <c r="C928" i="1"/>
  <c r="D928" i="1"/>
  <c r="E928" i="1"/>
  <c r="F928" i="1"/>
  <c r="G928" i="1"/>
  <c r="H928" i="1"/>
  <c r="I928" i="1"/>
  <c r="J928" i="1"/>
  <c r="K928" i="1"/>
  <c r="L928" i="1"/>
  <c r="M928" i="1"/>
  <c r="N928" i="1"/>
  <c r="O928" i="1"/>
  <c r="P928" i="1"/>
  <c r="Q928" i="1"/>
  <c r="R928" i="1"/>
  <c r="S928" i="1"/>
  <c r="T928" i="1"/>
  <c r="U928" i="1"/>
  <c r="A884" i="1"/>
  <c r="B884" i="1"/>
  <c r="C884" i="1"/>
  <c r="D884" i="1"/>
  <c r="E884" i="1"/>
  <c r="F884" i="1"/>
  <c r="G884" i="1"/>
  <c r="H884" i="1"/>
  <c r="I884" i="1"/>
  <c r="J884" i="1"/>
  <c r="K884" i="1"/>
  <c r="L884" i="1"/>
  <c r="M884" i="1"/>
  <c r="N884" i="1"/>
  <c r="O884" i="1"/>
  <c r="Q884" i="1"/>
  <c r="R884" i="1"/>
  <c r="S884" i="1"/>
  <c r="T884" i="1"/>
  <c r="U884" i="1"/>
  <c r="A713" i="1"/>
  <c r="B713" i="1"/>
  <c r="C713" i="1"/>
  <c r="D713" i="1"/>
  <c r="E713" i="1"/>
  <c r="F713" i="1"/>
  <c r="G713" i="1"/>
  <c r="H713" i="1"/>
  <c r="I713" i="1"/>
  <c r="J713" i="1"/>
  <c r="K713" i="1"/>
  <c r="L713" i="1"/>
  <c r="M713" i="1"/>
  <c r="N713" i="1"/>
  <c r="O713" i="1"/>
  <c r="P713" i="1"/>
  <c r="Q713" i="1"/>
  <c r="R713" i="1"/>
  <c r="S713" i="1"/>
  <c r="T713" i="1"/>
  <c r="U713" i="1"/>
  <c r="A636" i="1"/>
  <c r="B636" i="1"/>
  <c r="C636" i="1"/>
  <c r="D636" i="1"/>
  <c r="E636" i="1"/>
  <c r="F636" i="1"/>
  <c r="G636" i="1"/>
  <c r="H636" i="1"/>
  <c r="I636" i="1"/>
  <c r="J636" i="1"/>
  <c r="K636" i="1"/>
  <c r="L636" i="1"/>
  <c r="M636" i="1"/>
  <c r="N636" i="1"/>
  <c r="O636" i="1"/>
  <c r="P636" i="1"/>
  <c r="Q636" i="1"/>
  <c r="R636" i="1"/>
  <c r="S636" i="1"/>
  <c r="T636" i="1"/>
  <c r="U636" i="1"/>
  <c r="A259" i="1"/>
  <c r="B259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O259" i="1"/>
  <c r="P259" i="1"/>
  <c r="Q259" i="1"/>
  <c r="R259" i="1"/>
  <c r="S259" i="1"/>
  <c r="T259" i="1"/>
  <c r="U259" i="1"/>
  <c r="A712" i="1"/>
  <c r="B712" i="1"/>
  <c r="C712" i="1"/>
  <c r="D712" i="1"/>
  <c r="E712" i="1"/>
  <c r="F712" i="1"/>
  <c r="G712" i="1"/>
  <c r="H712" i="1"/>
  <c r="I712" i="1"/>
  <c r="J712" i="1"/>
  <c r="K712" i="1"/>
  <c r="L712" i="1"/>
  <c r="M712" i="1"/>
  <c r="O712" i="1"/>
  <c r="Q712" i="1"/>
  <c r="R712" i="1"/>
  <c r="S712" i="1"/>
  <c r="T712" i="1"/>
  <c r="U712" i="1"/>
  <c r="A635" i="1"/>
  <c r="B635" i="1"/>
  <c r="C635" i="1"/>
  <c r="D635" i="1"/>
  <c r="E635" i="1"/>
  <c r="F635" i="1"/>
  <c r="G635" i="1"/>
  <c r="H635" i="1"/>
  <c r="I635" i="1"/>
  <c r="J635" i="1"/>
  <c r="K635" i="1"/>
  <c r="L635" i="1"/>
  <c r="M635" i="1"/>
  <c r="N635" i="1"/>
  <c r="O635" i="1"/>
  <c r="P635" i="1"/>
  <c r="Q635" i="1"/>
  <c r="R635" i="1"/>
  <c r="S635" i="1"/>
  <c r="T635" i="1"/>
  <c r="U635" i="1"/>
  <c r="A512" i="1"/>
  <c r="B512" i="1"/>
  <c r="C512" i="1"/>
  <c r="D512" i="1"/>
  <c r="E512" i="1"/>
  <c r="F512" i="1"/>
  <c r="G512" i="1"/>
  <c r="H512" i="1"/>
  <c r="I512" i="1"/>
  <c r="J512" i="1"/>
  <c r="K512" i="1"/>
  <c r="L512" i="1"/>
  <c r="M512" i="1"/>
  <c r="N512" i="1"/>
  <c r="O512" i="1"/>
  <c r="P512" i="1"/>
  <c r="Q512" i="1"/>
  <c r="R512" i="1"/>
  <c r="S512" i="1"/>
  <c r="T512" i="1"/>
  <c r="U512" i="1"/>
  <c r="A513" i="1"/>
  <c r="B513" i="1"/>
  <c r="C513" i="1"/>
  <c r="D513" i="1"/>
  <c r="E513" i="1"/>
  <c r="F513" i="1"/>
  <c r="G513" i="1"/>
  <c r="H513" i="1"/>
  <c r="I513" i="1"/>
  <c r="J513" i="1"/>
  <c r="K513" i="1"/>
  <c r="M513" i="1"/>
  <c r="N513" i="1"/>
  <c r="O513" i="1"/>
  <c r="P513" i="1"/>
  <c r="Q513" i="1"/>
  <c r="R513" i="1"/>
  <c r="S513" i="1"/>
  <c r="T513" i="1"/>
  <c r="U513" i="1"/>
  <c r="A511" i="1"/>
  <c r="B511" i="1"/>
  <c r="C511" i="1"/>
  <c r="D511" i="1"/>
  <c r="E511" i="1"/>
  <c r="F511" i="1"/>
  <c r="G511" i="1"/>
  <c r="H511" i="1"/>
  <c r="I511" i="1"/>
  <c r="J511" i="1"/>
  <c r="K511" i="1"/>
  <c r="M511" i="1"/>
  <c r="N511" i="1"/>
  <c r="O511" i="1"/>
  <c r="P511" i="1"/>
  <c r="Q511" i="1"/>
  <c r="R511" i="1"/>
  <c r="S511" i="1"/>
  <c r="T511" i="1"/>
  <c r="U511" i="1"/>
  <c r="A510" i="1"/>
  <c r="B510" i="1"/>
  <c r="C510" i="1"/>
  <c r="D510" i="1"/>
  <c r="E510" i="1"/>
  <c r="F510" i="1"/>
  <c r="G510" i="1"/>
  <c r="H510" i="1"/>
  <c r="I510" i="1"/>
  <c r="J510" i="1"/>
  <c r="K510" i="1"/>
  <c r="L510" i="1"/>
  <c r="M510" i="1"/>
  <c r="N510" i="1"/>
  <c r="O510" i="1"/>
  <c r="P510" i="1"/>
  <c r="Q510" i="1"/>
  <c r="R510" i="1"/>
  <c r="S510" i="1"/>
  <c r="T510" i="1"/>
  <c r="U510" i="1"/>
  <c r="A452" i="1"/>
  <c r="B452" i="1"/>
  <c r="C452" i="1"/>
  <c r="D452" i="1"/>
  <c r="E452" i="1"/>
  <c r="F452" i="1"/>
  <c r="G452" i="1"/>
  <c r="H452" i="1"/>
  <c r="I452" i="1"/>
  <c r="J452" i="1"/>
  <c r="K452" i="1"/>
  <c r="L452" i="1"/>
  <c r="M452" i="1"/>
  <c r="N452" i="1"/>
  <c r="O452" i="1"/>
  <c r="P452" i="1"/>
  <c r="Q452" i="1"/>
  <c r="R452" i="1"/>
  <c r="S452" i="1"/>
  <c r="T452" i="1"/>
  <c r="U452" i="1"/>
  <c r="A453" i="1"/>
  <c r="B453" i="1"/>
  <c r="C453" i="1"/>
  <c r="D453" i="1"/>
  <c r="E453" i="1"/>
  <c r="F453" i="1"/>
  <c r="G453" i="1"/>
  <c r="H453" i="1"/>
  <c r="I453" i="1"/>
  <c r="J453" i="1"/>
  <c r="K453" i="1"/>
  <c r="L453" i="1"/>
  <c r="M453" i="1"/>
  <c r="N453" i="1"/>
  <c r="O453" i="1"/>
  <c r="P453" i="1"/>
  <c r="Q453" i="1"/>
  <c r="R453" i="1"/>
  <c r="S453" i="1"/>
  <c r="T453" i="1"/>
  <c r="U453" i="1"/>
  <c r="A454" i="1"/>
  <c r="B454" i="1"/>
  <c r="C454" i="1"/>
  <c r="D454" i="1"/>
  <c r="E454" i="1"/>
  <c r="F454" i="1"/>
  <c r="G454" i="1"/>
  <c r="H454" i="1"/>
  <c r="I454" i="1"/>
  <c r="J454" i="1"/>
  <c r="K454" i="1"/>
  <c r="L454" i="1"/>
  <c r="M454" i="1"/>
  <c r="N454" i="1"/>
  <c r="O454" i="1"/>
  <c r="P454" i="1"/>
  <c r="Q454" i="1"/>
  <c r="R454" i="1"/>
  <c r="S454" i="1"/>
  <c r="T454" i="1"/>
  <c r="U454" i="1"/>
  <c r="A457" i="1"/>
  <c r="B457" i="1"/>
  <c r="C457" i="1"/>
  <c r="D457" i="1"/>
  <c r="E457" i="1"/>
  <c r="F457" i="1"/>
  <c r="G457" i="1"/>
  <c r="H457" i="1"/>
  <c r="I457" i="1"/>
  <c r="J457" i="1"/>
  <c r="K457" i="1"/>
  <c r="L457" i="1"/>
  <c r="M457" i="1"/>
  <c r="N457" i="1"/>
  <c r="O457" i="1"/>
  <c r="P457" i="1"/>
  <c r="Q457" i="1"/>
  <c r="R457" i="1"/>
  <c r="S457" i="1"/>
  <c r="T457" i="1"/>
  <c r="U457" i="1"/>
  <c r="A455" i="1"/>
  <c r="B455" i="1"/>
  <c r="C455" i="1"/>
  <c r="D455" i="1"/>
  <c r="E455" i="1"/>
  <c r="F455" i="1"/>
  <c r="G455" i="1"/>
  <c r="H455" i="1"/>
  <c r="I455" i="1"/>
  <c r="J455" i="1"/>
  <c r="K455" i="1"/>
  <c r="L455" i="1"/>
  <c r="M455" i="1"/>
  <c r="N455" i="1"/>
  <c r="O455" i="1"/>
  <c r="P455" i="1"/>
  <c r="Q455" i="1"/>
  <c r="R455" i="1"/>
  <c r="S455" i="1"/>
  <c r="T455" i="1"/>
  <c r="U455" i="1"/>
  <c r="A456" i="1"/>
  <c r="B456" i="1"/>
  <c r="C456" i="1"/>
  <c r="D456" i="1"/>
  <c r="E456" i="1"/>
  <c r="F456" i="1"/>
  <c r="G456" i="1"/>
  <c r="H456" i="1"/>
  <c r="I456" i="1"/>
  <c r="J456" i="1"/>
  <c r="K456" i="1"/>
  <c r="L456" i="1"/>
  <c r="M456" i="1"/>
  <c r="N456" i="1"/>
  <c r="O456" i="1"/>
  <c r="P456" i="1"/>
  <c r="Q456" i="1"/>
  <c r="R456" i="1"/>
  <c r="S456" i="1"/>
  <c r="T456" i="1"/>
  <c r="U456" i="1"/>
  <c r="A258" i="1"/>
  <c r="B258" i="1"/>
  <c r="C258" i="1"/>
  <c r="D258" i="1"/>
  <c r="E258" i="1"/>
  <c r="F258" i="1"/>
  <c r="G258" i="1"/>
  <c r="H258" i="1"/>
  <c r="I258" i="1"/>
  <c r="J258" i="1"/>
  <c r="K258" i="1"/>
  <c r="L258" i="1"/>
  <c r="M258" i="1"/>
  <c r="N258" i="1"/>
  <c r="O258" i="1"/>
  <c r="P258" i="1"/>
  <c r="Q258" i="1"/>
  <c r="R258" i="1"/>
  <c r="S258" i="1"/>
  <c r="T258" i="1"/>
  <c r="U258" i="1"/>
  <c r="A184" i="1"/>
  <c r="B184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A185" i="1"/>
  <c r="B185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O185" i="1"/>
  <c r="P185" i="1"/>
  <c r="Q185" i="1"/>
  <c r="R185" i="1"/>
  <c r="S185" i="1"/>
  <c r="T185" i="1"/>
  <c r="U185" i="1"/>
  <c r="A186" i="1"/>
  <c r="B186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O186" i="1"/>
  <c r="P186" i="1"/>
  <c r="Q186" i="1"/>
  <c r="R186" i="1"/>
  <c r="S186" i="1"/>
  <c r="T186" i="1"/>
  <c r="U186" i="1"/>
  <c r="A187" i="1"/>
  <c r="B187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O187" i="1"/>
  <c r="P187" i="1"/>
  <c r="Q187" i="1"/>
  <c r="R187" i="1"/>
  <c r="S187" i="1"/>
  <c r="T187" i="1"/>
  <c r="U187" i="1"/>
  <c r="A188" i="1"/>
  <c r="B188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O188" i="1"/>
  <c r="P188" i="1"/>
  <c r="Q188" i="1"/>
  <c r="R188" i="1"/>
  <c r="S188" i="1"/>
  <c r="T188" i="1"/>
  <c r="U188" i="1"/>
  <c r="A189" i="1"/>
  <c r="B189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O189" i="1"/>
  <c r="P189" i="1"/>
  <c r="Q189" i="1"/>
  <c r="R189" i="1"/>
  <c r="S189" i="1"/>
  <c r="T189" i="1"/>
  <c r="U189" i="1"/>
  <c r="A120" i="1"/>
  <c r="B120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O120" i="1"/>
  <c r="P120" i="1"/>
  <c r="Q120" i="1"/>
  <c r="R120" i="1"/>
  <c r="S120" i="1"/>
  <c r="T120" i="1"/>
  <c r="U120" i="1"/>
  <c r="A74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A75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U75" i="1"/>
  <c r="A73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A4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A8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A5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A6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A7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A1781" i="1"/>
  <c r="B1781" i="1"/>
  <c r="C1781" i="1"/>
  <c r="D1781" i="1"/>
  <c r="E1781" i="1"/>
  <c r="F1781" i="1"/>
  <c r="G1781" i="1"/>
  <c r="H1781" i="1"/>
  <c r="I1781" i="1"/>
  <c r="J1781" i="1"/>
  <c r="K1781" i="1"/>
  <c r="L1781" i="1"/>
  <c r="M1781" i="1"/>
  <c r="N1781" i="1"/>
  <c r="O1781" i="1"/>
  <c r="Q1781" i="1"/>
  <c r="R1781" i="1"/>
  <c r="S1781" i="1"/>
  <c r="T1781" i="1"/>
  <c r="U1781" i="1"/>
  <c r="A1782" i="1"/>
  <c r="B1782" i="1"/>
  <c r="C1782" i="1"/>
  <c r="D1782" i="1"/>
  <c r="E1782" i="1"/>
  <c r="F1782" i="1"/>
  <c r="G1782" i="1"/>
  <c r="H1782" i="1"/>
  <c r="I1782" i="1"/>
  <c r="J1782" i="1"/>
  <c r="K1782" i="1"/>
  <c r="L1782" i="1"/>
  <c r="M1782" i="1"/>
  <c r="N1782" i="1"/>
  <c r="O1782" i="1"/>
  <c r="Q1782" i="1"/>
  <c r="R1782" i="1"/>
  <c r="S1782" i="1"/>
  <c r="T1782" i="1"/>
  <c r="U1782" i="1"/>
  <c r="A1724" i="1"/>
  <c r="B1724" i="1"/>
  <c r="C1724" i="1"/>
  <c r="D1724" i="1"/>
  <c r="E1724" i="1"/>
  <c r="F1724" i="1"/>
  <c r="G1724" i="1"/>
  <c r="H1724" i="1"/>
  <c r="I1724" i="1"/>
  <c r="J1724" i="1"/>
  <c r="K1724" i="1"/>
  <c r="L1724" i="1"/>
  <c r="M1724" i="1"/>
  <c r="N1724" i="1"/>
  <c r="O1724" i="1"/>
  <c r="P1724" i="1"/>
  <c r="Q1724" i="1"/>
  <c r="R1724" i="1"/>
  <c r="S1724" i="1"/>
  <c r="T1724" i="1"/>
  <c r="U1724" i="1"/>
  <c r="A1725" i="1"/>
  <c r="B1725" i="1"/>
  <c r="C1725" i="1"/>
  <c r="D1725" i="1"/>
  <c r="E1725" i="1"/>
  <c r="F1725" i="1"/>
  <c r="G1725" i="1"/>
  <c r="H1725" i="1"/>
  <c r="I1725" i="1"/>
  <c r="J1725" i="1"/>
  <c r="K1725" i="1"/>
  <c r="L1725" i="1"/>
  <c r="M1725" i="1"/>
  <c r="N1725" i="1"/>
  <c r="O1725" i="1"/>
  <c r="P1725" i="1"/>
  <c r="Q1725" i="1"/>
  <c r="R1725" i="1"/>
  <c r="S1725" i="1"/>
  <c r="T1725" i="1"/>
  <c r="U1725" i="1"/>
  <c r="A1726" i="1"/>
  <c r="B1726" i="1"/>
  <c r="C1726" i="1"/>
  <c r="D1726" i="1"/>
  <c r="E1726" i="1"/>
  <c r="F1726" i="1"/>
  <c r="G1726" i="1"/>
  <c r="H1726" i="1"/>
  <c r="I1726" i="1"/>
  <c r="J1726" i="1"/>
  <c r="K1726" i="1"/>
  <c r="M1726" i="1"/>
  <c r="N1726" i="1"/>
  <c r="O1726" i="1"/>
  <c r="P1726" i="1"/>
  <c r="Q1726" i="1"/>
  <c r="R1726" i="1"/>
  <c r="S1726" i="1"/>
  <c r="T1726" i="1"/>
  <c r="U1726" i="1"/>
  <c r="A1656" i="1"/>
  <c r="B1656" i="1"/>
  <c r="C1656" i="1"/>
  <c r="D1656" i="1"/>
  <c r="E1656" i="1"/>
  <c r="F1656" i="1"/>
  <c r="G1656" i="1"/>
  <c r="H1656" i="1"/>
  <c r="I1656" i="1"/>
  <c r="J1656" i="1"/>
  <c r="K1656" i="1"/>
  <c r="L1656" i="1"/>
  <c r="M1656" i="1"/>
  <c r="N1656" i="1"/>
  <c r="O1656" i="1"/>
  <c r="P1656" i="1"/>
  <c r="Q1656" i="1"/>
  <c r="R1656" i="1"/>
  <c r="S1656" i="1"/>
  <c r="T1656" i="1"/>
  <c r="U1656" i="1"/>
  <c r="A1582" i="1"/>
  <c r="B1582" i="1"/>
  <c r="C1582" i="1"/>
  <c r="D1582" i="1"/>
  <c r="E1582" i="1"/>
  <c r="F1582" i="1"/>
  <c r="G1582" i="1"/>
  <c r="H1582" i="1"/>
  <c r="I1582" i="1"/>
  <c r="J1582" i="1"/>
  <c r="K1582" i="1"/>
  <c r="L1582" i="1"/>
  <c r="M1582" i="1"/>
  <c r="N1582" i="1"/>
  <c r="O1582" i="1"/>
  <c r="P1582" i="1"/>
  <c r="Q1582" i="1"/>
  <c r="R1582" i="1"/>
  <c r="S1582" i="1"/>
  <c r="T1582" i="1"/>
  <c r="U1582" i="1"/>
  <c r="A1583" i="1"/>
  <c r="B1583" i="1"/>
  <c r="C1583" i="1"/>
  <c r="D1583" i="1"/>
  <c r="E1583" i="1"/>
  <c r="F1583" i="1"/>
  <c r="G1583" i="1"/>
  <c r="H1583" i="1"/>
  <c r="I1583" i="1"/>
  <c r="J1583" i="1"/>
  <c r="K1583" i="1"/>
  <c r="L1583" i="1"/>
  <c r="M1583" i="1"/>
  <c r="N1583" i="1"/>
  <c r="O1583" i="1"/>
  <c r="P1583" i="1"/>
  <c r="Q1583" i="1"/>
  <c r="R1583" i="1"/>
  <c r="S1583" i="1"/>
  <c r="T1583" i="1"/>
  <c r="U1583" i="1"/>
  <c r="A1581" i="1"/>
  <c r="B1581" i="1"/>
  <c r="C1581" i="1"/>
  <c r="D1581" i="1"/>
  <c r="E1581" i="1"/>
  <c r="F1581" i="1"/>
  <c r="G1581" i="1"/>
  <c r="H1581" i="1"/>
  <c r="I1581" i="1"/>
  <c r="J1581" i="1"/>
  <c r="K1581" i="1"/>
  <c r="M1581" i="1"/>
  <c r="N1581" i="1"/>
  <c r="O1581" i="1"/>
  <c r="P1581" i="1"/>
  <c r="Q1581" i="1"/>
  <c r="R1581" i="1"/>
  <c r="S1581" i="1"/>
  <c r="T1581" i="1"/>
  <c r="U1581" i="1"/>
  <c r="A1576" i="1"/>
  <c r="B1576" i="1"/>
  <c r="C1576" i="1"/>
  <c r="D1576" i="1"/>
  <c r="E1576" i="1"/>
  <c r="F1576" i="1"/>
  <c r="G1576" i="1"/>
  <c r="H1576" i="1"/>
  <c r="I1576" i="1"/>
  <c r="J1576" i="1"/>
  <c r="K1576" i="1"/>
  <c r="L1576" i="1"/>
  <c r="M1576" i="1"/>
  <c r="N1576" i="1"/>
  <c r="O1576" i="1"/>
  <c r="P1576" i="1"/>
  <c r="Q1576" i="1"/>
  <c r="R1576" i="1"/>
  <c r="S1576" i="1"/>
  <c r="T1576" i="1"/>
  <c r="U1576" i="1"/>
  <c r="A1577" i="1"/>
  <c r="B1577" i="1"/>
  <c r="C1577" i="1"/>
  <c r="D1577" i="1"/>
  <c r="E1577" i="1"/>
  <c r="F1577" i="1"/>
  <c r="G1577" i="1"/>
  <c r="H1577" i="1"/>
  <c r="I1577" i="1"/>
  <c r="J1577" i="1"/>
  <c r="K1577" i="1"/>
  <c r="L1577" i="1"/>
  <c r="M1577" i="1"/>
  <c r="N1577" i="1"/>
  <c r="O1577" i="1"/>
  <c r="P1577" i="1"/>
  <c r="Q1577" i="1"/>
  <c r="R1577" i="1"/>
  <c r="S1577" i="1"/>
  <c r="T1577" i="1"/>
  <c r="U1577" i="1"/>
  <c r="A1580" i="1"/>
  <c r="B1580" i="1"/>
  <c r="C1580" i="1"/>
  <c r="D1580" i="1"/>
  <c r="E1580" i="1"/>
  <c r="F1580" i="1"/>
  <c r="G1580" i="1"/>
  <c r="H1580" i="1"/>
  <c r="I1580" i="1"/>
  <c r="J1580" i="1"/>
  <c r="K1580" i="1"/>
  <c r="M1580" i="1"/>
  <c r="N1580" i="1"/>
  <c r="O1580" i="1"/>
  <c r="P1580" i="1"/>
  <c r="Q1580" i="1"/>
  <c r="R1580" i="1"/>
  <c r="S1580" i="1"/>
  <c r="T1580" i="1"/>
  <c r="U1580" i="1"/>
  <c r="A1578" i="1"/>
  <c r="B1578" i="1"/>
  <c r="C1578" i="1"/>
  <c r="D1578" i="1"/>
  <c r="E1578" i="1"/>
  <c r="F1578" i="1"/>
  <c r="G1578" i="1"/>
  <c r="H1578" i="1"/>
  <c r="I1578" i="1"/>
  <c r="J1578" i="1"/>
  <c r="K1578" i="1"/>
  <c r="L1578" i="1"/>
  <c r="M1578" i="1"/>
  <c r="N1578" i="1"/>
  <c r="O1578" i="1"/>
  <c r="P1578" i="1"/>
  <c r="Q1578" i="1"/>
  <c r="R1578" i="1"/>
  <c r="S1578" i="1"/>
  <c r="T1578" i="1"/>
  <c r="U1578" i="1"/>
  <c r="A1579" i="1"/>
  <c r="B1579" i="1"/>
  <c r="C1579" i="1"/>
  <c r="D1579" i="1"/>
  <c r="E1579" i="1"/>
  <c r="F1579" i="1"/>
  <c r="G1579" i="1"/>
  <c r="H1579" i="1"/>
  <c r="I1579" i="1"/>
  <c r="J1579" i="1"/>
  <c r="K1579" i="1"/>
  <c r="M1579" i="1"/>
  <c r="N1579" i="1"/>
  <c r="O1579" i="1"/>
  <c r="P1579" i="1"/>
  <c r="Q1579" i="1"/>
  <c r="R1579" i="1"/>
  <c r="S1579" i="1"/>
  <c r="T1579" i="1"/>
  <c r="U1579" i="1"/>
  <c r="A1515" i="1"/>
  <c r="B1515" i="1"/>
  <c r="C1515" i="1"/>
  <c r="D1515" i="1"/>
  <c r="E1515" i="1"/>
  <c r="F1515" i="1"/>
  <c r="G1515" i="1"/>
  <c r="H1515" i="1"/>
  <c r="I1515" i="1"/>
  <c r="J1515" i="1"/>
  <c r="K1515" i="1"/>
  <c r="L1515" i="1"/>
  <c r="M1515" i="1"/>
  <c r="N1515" i="1"/>
  <c r="O1515" i="1"/>
  <c r="P1515" i="1"/>
  <c r="Q1515" i="1"/>
  <c r="R1515" i="1"/>
  <c r="S1515" i="1"/>
  <c r="T1515" i="1"/>
  <c r="U1515" i="1"/>
  <c r="A1252" i="1"/>
  <c r="B1252" i="1"/>
  <c r="C1252" i="1"/>
  <c r="D1252" i="1"/>
  <c r="E1252" i="1"/>
  <c r="F1252" i="1"/>
  <c r="G1252" i="1"/>
  <c r="H1252" i="1"/>
  <c r="I1252" i="1"/>
  <c r="J1252" i="1"/>
  <c r="K1252" i="1"/>
  <c r="L1252" i="1"/>
  <c r="M1252" i="1"/>
  <c r="N1252" i="1"/>
  <c r="O1252" i="1"/>
  <c r="P1252" i="1"/>
  <c r="Q1252" i="1"/>
  <c r="R1252" i="1"/>
  <c r="S1252" i="1"/>
  <c r="T1252" i="1"/>
  <c r="U1252" i="1"/>
  <c r="A1509" i="1"/>
  <c r="B1509" i="1"/>
  <c r="C1509" i="1"/>
  <c r="D1509" i="1"/>
  <c r="E1509" i="1"/>
  <c r="F1509" i="1"/>
  <c r="G1509" i="1"/>
  <c r="H1509" i="1"/>
  <c r="I1509" i="1"/>
  <c r="J1509" i="1"/>
  <c r="K1509" i="1"/>
  <c r="L1509" i="1"/>
  <c r="M1509" i="1"/>
  <c r="N1509" i="1"/>
  <c r="O1509" i="1"/>
  <c r="P1509" i="1"/>
  <c r="Q1509" i="1"/>
  <c r="R1509" i="1"/>
  <c r="S1509" i="1"/>
  <c r="T1509" i="1"/>
  <c r="U1509" i="1"/>
  <c r="A1512" i="1"/>
  <c r="B1512" i="1"/>
  <c r="C1512" i="1"/>
  <c r="D1512" i="1"/>
  <c r="E1512" i="1"/>
  <c r="F1512" i="1"/>
  <c r="G1512" i="1"/>
  <c r="H1512" i="1"/>
  <c r="I1512" i="1"/>
  <c r="J1512" i="1"/>
  <c r="K1512" i="1"/>
  <c r="L1512" i="1"/>
  <c r="M1512" i="1"/>
  <c r="N1512" i="1"/>
  <c r="O1512" i="1"/>
  <c r="P1512" i="1"/>
  <c r="Q1512" i="1"/>
  <c r="R1512" i="1"/>
  <c r="S1512" i="1"/>
  <c r="T1512" i="1"/>
  <c r="U1512" i="1"/>
  <c r="A1510" i="1"/>
  <c r="B1510" i="1"/>
  <c r="C1510" i="1"/>
  <c r="D1510" i="1"/>
  <c r="E1510" i="1"/>
  <c r="F1510" i="1"/>
  <c r="G1510" i="1"/>
  <c r="H1510" i="1"/>
  <c r="I1510" i="1"/>
  <c r="J1510" i="1"/>
  <c r="K1510" i="1"/>
  <c r="L1510" i="1"/>
  <c r="M1510" i="1"/>
  <c r="N1510" i="1"/>
  <c r="O1510" i="1"/>
  <c r="P1510" i="1"/>
  <c r="Q1510" i="1"/>
  <c r="R1510" i="1"/>
  <c r="S1510" i="1"/>
  <c r="T1510" i="1"/>
  <c r="U1510" i="1"/>
  <c r="A1513" i="1"/>
  <c r="B1513" i="1"/>
  <c r="C1513" i="1"/>
  <c r="D1513" i="1"/>
  <c r="E1513" i="1"/>
  <c r="F1513" i="1"/>
  <c r="G1513" i="1"/>
  <c r="H1513" i="1"/>
  <c r="I1513" i="1"/>
  <c r="J1513" i="1"/>
  <c r="K1513" i="1"/>
  <c r="M1513" i="1"/>
  <c r="N1513" i="1"/>
  <c r="O1513" i="1"/>
  <c r="P1513" i="1"/>
  <c r="Q1513" i="1"/>
  <c r="R1513" i="1"/>
  <c r="S1513" i="1"/>
  <c r="T1513" i="1"/>
  <c r="U1513" i="1"/>
  <c r="A1511" i="1"/>
  <c r="B1511" i="1"/>
  <c r="C1511" i="1"/>
  <c r="D1511" i="1"/>
  <c r="E1511" i="1"/>
  <c r="F1511" i="1"/>
  <c r="G1511" i="1"/>
  <c r="H1511" i="1"/>
  <c r="I1511" i="1"/>
  <c r="J1511" i="1"/>
  <c r="K1511" i="1"/>
  <c r="L1511" i="1"/>
  <c r="M1511" i="1"/>
  <c r="N1511" i="1"/>
  <c r="O1511" i="1"/>
  <c r="P1511" i="1"/>
  <c r="Q1511" i="1"/>
  <c r="R1511" i="1"/>
  <c r="S1511" i="1"/>
  <c r="T1511" i="1"/>
  <c r="U1511" i="1"/>
  <c r="A1514" i="1"/>
  <c r="B1514" i="1"/>
  <c r="C1514" i="1"/>
  <c r="D1514" i="1"/>
  <c r="E1514" i="1"/>
  <c r="F1514" i="1"/>
  <c r="G1514" i="1"/>
  <c r="H1514" i="1"/>
  <c r="I1514" i="1"/>
  <c r="J1514" i="1"/>
  <c r="K1514" i="1"/>
  <c r="M1514" i="1"/>
  <c r="N1514" i="1"/>
  <c r="O1514" i="1"/>
  <c r="P1514" i="1"/>
  <c r="Q1514" i="1"/>
  <c r="R1514" i="1"/>
  <c r="S1514" i="1"/>
  <c r="T1514" i="1"/>
  <c r="U1514" i="1"/>
  <c r="A1319" i="1"/>
  <c r="B1319" i="1"/>
  <c r="C1319" i="1"/>
  <c r="D1319" i="1"/>
  <c r="E1319" i="1"/>
  <c r="F1319" i="1"/>
  <c r="G1319" i="1"/>
  <c r="H1319" i="1"/>
  <c r="I1319" i="1"/>
  <c r="J1319" i="1"/>
  <c r="K1319" i="1"/>
  <c r="L1319" i="1"/>
  <c r="M1319" i="1"/>
  <c r="N1319" i="1"/>
  <c r="O1319" i="1"/>
  <c r="P1319" i="1"/>
  <c r="Q1319" i="1"/>
  <c r="R1319" i="1"/>
  <c r="S1319" i="1"/>
  <c r="T1319" i="1"/>
  <c r="U1319" i="1"/>
  <c r="A1320" i="1"/>
  <c r="B1320" i="1"/>
  <c r="C1320" i="1"/>
  <c r="D1320" i="1"/>
  <c r="E1320" i="1"/>
  <c r="F1320" i="1"/>
  <c r="G1320" i="1"/>
  <c r="H1320" i="1"/>
  <c r="I1320" i="1"/>
  <c r="J1320" i="1"/>
  <c r="K1320" i="1"/>
  <c r="L1320" i="1"/>
  <c r="M1320" i="1"/>
  <c r="N1320" i="1"/>
  <c r="O1320" i="1"/>
  <c r="P1320" i="1"/>
  <c r="Q1320" i="1"/>
  <c r="R1320" i="1"/>
  <c r="S1320" i="1"/>
  <c r="T1320" i="1"/>
  <c r="U1320" i="1"/>
  <c r="A1318" i="1"/>
  <c r="B1318" i="1"/>
  <c r="C1318" i="1"/>
  <c r="D1318" i="1"/>
  <c r="E1318" i="1"/>
  <c r="F1318" i="1"/>
  <c r="G1318" i="1"/>
  <c r="H1318" i="1"/>
  <c r="I1318" i="1"/>
  <c r="J1318" i="1"/>
  <c r="K1318" i="1"/>
  <c r="L1318" i="1"/>
  <c r="M1318" i="1"/>
  <c r="N1318" i="1"/>
  <c r="O1318" i="1"/>
  <c r="P1318" i="1"/>
  <c r="Q1318" i="1"/>
  <c r="R1318" i="1"/>
  <c r="S1318" i="1"/>
  <c r="T1318" i="1"/>
  <c r="U1318" i="1"/>
  <c r="A1247" i="1"/>
  <c r="B1247" i="1"/>
  <c r="C1247" i="1"/>
  <c r="D1247" i="1"/>
  <c r="E1247" i="1"/>
  <c r="F1247" i="1"/>
  <c r="G1247" i="1"/>
  <c r="H1247" i="1"/>
  <c r="I1247" i="1"/>
  <c r="J1247" i="1"/>
  <c r="K1247" i="1"/>
  <c r="L1247" i="1"/>
  <c r="M1247" i="1"/>
  <c r="N1247" i="1"/>
  <c r="O1247" i="1"/>
  <c r="P1247" i="1"/>
  <c r="Q1247" i="1"/>
  <c r="R1247" i="1"/>
  <c r="S1247" i="1"/>
  <c r="T1247" i="1"/>
  <c r="U1247" i="1"/>
  <c r="A1248" i="1"/>
  <c r="B1248" i="1"/>
  <c r="C1248" i="1"/>
  <c r="D1248" i="1"/>
  <c r="E1248" i="1"/>
  <c r="F1248" i="1"/>
  <c r="G1248" i="1"/>
  <c r="H1248" i="1"/>
  <c r="I1248" i="1"/>
  <c r="J1248" i="1"/>
  <c r="K1248" i="1"/>
  <c r="L1248" i="1"/>
  <c r="M1248" i="1"/>
  <c r="N1248" i="1"/>
  <c r="O1248" i="1"/>
  <c r="P1248" i="1"/>
  <c r="Q1248" i="1"/>
  <c r="R1248" i="1"/>
  <c r="S1248" i="1"/>
  <c r="T1248" i="1"/>
  <c r="U1248" i="1"/>
  <c r="A1249" i="1"/>
  <c r="B1249" i="1"/>
  <c r="C1249" i="1"/>
  <c r="D1249" i="1"/>
  <c r="E1249" i="1"/>
  <c r="F1249" i="1"/>
  <c r="G1249" i="1"/>
  <c r="H1249" i="1"/>
  <c r="I1249" i="1"/>
  <c r="J1249" i="1"/>
  <c r="K1249" i="1"/>
  <c r="L1249" i="1"/>
  <c r="M1249" i="1"/>
  <c r="N1249" i="1"/>
  <c r="O1249" i="1"/>
  <c r="P1249" i="1"/>
  <c r="Q1249" i="1"/>
  <c r="R1249" i="1"/>
  <c r="S1249" i="1"/>
  <c r="T1249" i="1"/>
  <c r="U1249" i="1"/>
  <c r="A1250" i="1"/>
  <c r="B1250" i="1"/>
  <c r="C1250" i="1"/>
  <c r="D1250" i="1"/>
  <c r="E1250" i="1"/>
  <c r="F1250" i="1"/>
  <c r="G1250" i="1"/>
  <c r="H1250" i="1"/>
  <c r="I1250" i="1"/>
  <c r="J1250" i="1"/>
  <c r="K1250" i="1"/>
  <c r="L1250" i="1"/>
  <c r="M1250" i="1"/>
  <c r="N1250" i="1"/>
  <c r="O1250" i="1"/>
  <c r="P1250" i="1"/>
  <c r="Q1250" i="1"/>
  <c r="R1250" i="1"/>
  <c r="S1250" i="1"/>
  <c r="T1250" i="1"/>
  <c r="U1250" i="1"/>
  <c r="A1251" i="1"/>
  <c r="B1251" i="1"/>
  <c r="C1251" i="1"/>
  <c r="D1251" i="1"/>
  <c r="E1251" i="1"/>
  <c r="F1251" i="1"/>
  <c r="G1251" i="1"/>
  <c r="H1251" i="1"/>
  <c r="I1251" i="1"/>
  <c r="J1251" i="1"/>
  <c r="K1251" i="1"/>
  <c r="L1251" i="1"/>
  <c r="M1251" i="1"/>
  <c r="N1251" i="1"/>
  <c r="O1251" i="1"/>
  <c r="P1251" i="1"/>
  <c r="Q1251" i="1"/>
  <c r="R1251" i="1"/>
  <c r="S1251" i="1"/>
  <c r="T1251" i="1"/>
  <c r="U1251" i="1"/>
  <c r="A1182" i="1"/>
  <c r="B1182" i="1"/>
  <c r="C1182" i="1"/>
  <c r="D1182" i="1"/>
  <c r="E1182" i="1"/>
  <c r="F1182" i="1"/>
  <c r="G1182" i="1"/>
  <c r="H1182" i="1"/>
  <c r="I1182" i="1"/>
  <c r="J1182" i="1"/>
  <c r="K1182" i="1"/>
  <c r="L1182" i="1"/>
  <c r="M1182" i="1"/>
  <c r="N1182" i="1"/>
  <c r="O1182" i="1"/>
  <c r="Q1182" i="1"/>
  <c r="R1182" i="1"/>
  <c r="S1182" i="1"/>
  <c r="T1182" i="1"/>
  <c r="U1182" i="1"/>
  <c r="A1145" i="1"/>
  <c r="B1145" i="1"/>
  <c r="C1145" i="1"/>
  <c r="D1145" i="1"/>
  <c r="E1145" i="1"/>
  <c r="F1145" i="1"/>
  <c r="G1145" i="1"/>
  <c r="H1145" i="1"/>
  <c r="I1145" i="1"/>
  <c r="J1145" i="1"/>
  <c r="K1145" i="1"/>
  <c r="L1145" i="1"/>
  <c r="M1145" i="1"/>
  <c r="N1145" i="1"/>
  <c r="O1145" i="1"/>
  <c r="P1145" i="1"/>
  <c r="Q1145" i="1"/>
  <c r="R1145" i="1"/>
  <c r="S1145" i="1"/>
  <c r="T1145" i="1"/>
  <c r="U1145" i="1"/>
  <c r="A1144" i="1"/>
  <c r="B1144" i="1"/>
  <c r="C1144" i="1"/>
  <c r="D1144" i="1"/>
  <c r="E1144" i="1"/>
  <c r="F1144" i="1"/>
  <c r="G1144" i="1"/>
  <c r="H1144" i="1"/>
  <c r="I1144" i="1"/>
  <c r="J1144" i="1"/>
  <c r="K1144" i="1"/>
  <c r="L1144" i="1"/>
  <c r="M1144" i="1"/>
  <c r="N1144" i="1"/>
  <c r="O1144" i="1"/>
  <c r="P1144" i="1"/>
  <c r="Q1144" i="1"/>
  <c r="R1144" i="1"/>
  <c r="S1144" i="1"/>
  <c r="T1144" i="1"/>
  <c r="U1144" i="1"/>
  <c r="A1088" i="1"/>
  <c r="B1088" i="1"/>
  <c r="C1088" i="1"/>
  <c r="D1088" i="1"/>
  <c r="E1088" i="1"/>
  <c r="F1088" i="1"/>
  <c r="G1088" i="1"/>
  <c r="H1088" i="1"/>
  <c r="I1088" i="1"/>
  <c r="J1088" i="1"/>
  <c r="K1088" i="1"/>
  <c r="L1088" i="1"/>
  <c r="M1088" i="1"/>
  <c r="N1088" i="1"/>
  <c r="O1088" i="1"/>
  <c r="P1088" i="1"/>
  <c r="Q1088" i="1"/>
  <c r="R1088" i="1"/>
  <c r="S1088" i="1"/>
  <c r="T1088" i="1"/>
  <c r="U1088" i="1"/>
  <c r="A1089" i="1"/>
  <c r="B1089" i="1"/>
  <c r="C1089" i="1"/>
  <c r="D1089" i="1"/>
  <c r="E1089" i="1"/>
  <c r="F1089" i="1"/>
  <c r="G1089" i="1"/>
  <c r="H1089" i="1"/>
  <c r="I1089" i="1"/>
  <c r="J1089" i="1"/>
  <c r="K1089" i="1"/>
  <c r="L1089" i="1"/>
  <c r="M1089" i="1"/>
  <c r="N1089" i="1"/>
  <c r="O1089" i="1"/>
  <c r="P1089" i="1"/>
  <c r="Q1089" i="1"/>
  <c r="R1089" i="1"/>
  <c r="S1089" i="1"/>
  <c r="T1089" i="1"/>
  <c r="U1089" i="1"/>
  <c r="A1090" i="1"/>
  <c r="B1090" i="1"/>
  <c r="C1090" i="1"/>
  <c r="D1090" i="1"/>
  <c r="E1090" i="1"/>
  <c r="F1090" i="1"/>
  <c r="G1090" i="1"/>
  <c r="H1090" i="1"/>
  <c r="I1090" i="1"/>
  <c r="J1090" i="1"/>
  <c r="K1090" i="1"/>
  <c r="L1090" i="1"/>
  <c r="M1090" i="1"/>
  <c r="N1090" i="1"/>
  <c r="O1090" i="1"/>
  <c r="P1090" i="1"/>
  <c r="Q1090" i="1"/>
  <c r="R1090" i="1"/>
  <c r="S1090" i="1"/>
  <c r="T1090" i="1"/>
  <c r="U1090" i="1"/>
  <c r="A1091" i="1"/>
  <c r="B1091" i="1"/>
  <c r="C1091" i="1"/>
  <c r="D1091" i="1"/>
  <c r="E1091" i="1"/>
  <c r="F1091" i="1"/>
  <c r="G1091" i="1"/>
  <c r="H1091" i="1"/>
  <c r="I1091" i="1"/>
  <c r="J1091" i="1"/>
  <c r="K1091" i="1"/>
  <c r="L1091" i="1"/>
  <c r="M1091" i="1"/>
  <c r="N1091" i="1"/>
  <c r="O1091" i="1"/>
  <c r="P1091" i="1"/>
  <c r="Q1091" i="1"/>
  <c r="R1091" i="1"/>
  <c r="S1091" i="1"/>
  <c r="T1091" i="1"/>
  <c r="U1091" i="1"/>
  <c r="A1092" i="1"/>
  <c r="B1092" i="1"/>
  <c r="C1092" i="1"/>
  <c r="D1092" i="1"/>
  <c r="E1092" i="1"/>
  <c r="F1092" i="1"/>
  <c r="G1092" i="1"/>
  <c r="H1092" i="1"/>
  <c r="I1092" i="1"/>
  <c r="J1092" i="1"/>
  <c r="K1092" i="1"/>
  <c r="M1092" i="1"/>
  <c r="N1092" i="1"/>
  <c r="O1092" i="1"/>
  <c r="P1092" i="1"/>
  <c r="Q1092" i="1"/>
  <c r="R1092" i="1"/>
  <c r="S1092" i="1"/>
  <c r="T1092" i="1"/>
  <c r="U1092" i="1"/>
  <c r="A872" i="1"/>
  <c r="B872" i="1"/>
  <c r="C872" i="1"/>
  <c r="D872" i="1"/>
  <c r="E872" i="1"/>
  <c r="F872" i="1"/>
  <c r="G872" i="1"/>
  <c r="H872" i="1"/>
  <c r="I872" i="1"/>
  <c r="J872" i="1"/>
  <c r="K872" i="1"/>
  <c r="L872" i="1"/>
  <c r="M872" i="1"/>
  <c r="N872" i="1"/>
  <c r="O872" i="1"/>
  <c r="P872" i="1"/>
  <c r="Q872" i="1"/>
  <c r="R872" i="1"/>
  <c r="S872" i="1"/>
  <c r="T872" i="1"/>
  <c r="U872" i="1"/>
  <c r="A873" i="1"/>
  <c r="B873" i="1"/>
  <c r="C873" i="1"/>
  <c r="D873" i="1"/>
  <c r="E873" i="1"/>
  <c r="F873" i="1"/>
  <c r="G873" i="1"/>
  <c r="H873" i="1"/>
  <c r="I873" i="1"/>
  <c r="J873" i="1"/>
  <c r="K873" i="1"/>
  <c r="L873" i="1"/>
  <c r="M873" i="1"/>
  <c r="N873" i="1"/>
  <c r="O873" i="1"/>
  <c r="P873" i="1"/>
  <c r="Q873" i="1"/>
  <c r="R873" i="1"/>
  <c r="S873" i="1"/>
  <c r="T873" i="1"/>
  <c r="U873" i="1"/>
  <c r="A874" i="1"/>
  <c r="B874" i="1"/>
  <c r="C874" i="1"/>
  <c r="D874" i="1"/>
  <c r="E874" i="1"/>
  <c r="F874" i="1"/>
  <c r="G874" i="1"/>
  <c r="H874" i="1"/>
  <c r="I874" i="1"/>
  <c r="J874" i="1"/>
  <c r="K874" i="1"/>
  <c r="L874" i="1"/>
  <c r="M874" i="1"/>
  <c r="N874" i="1"/>
  <c r="O874" i="1"/>
  <c r="P874" i="1"/>
  <c r="Q874" i="1"/>
  <c r="R874" i="1"/>
  <c r="S874" i="1"/>
  <c r="T874" i="1"/>
  <c r="U874" i="1"/>
  <c r="A875" i="1"/>
  <c r="B875" i="1"/>
  <c r="C875" i="1"/>
  <c r="D875" i="1"/>
  <c r="E875" i="1"/>
  <c r="F875" i="1"/>
  <c r="G875" i="1"/>
  <c r="H875" i="1"/>
  <c r="I875" i="1"/>
  <c r="J875" i="1"/>
  <c r="K875" i="1"/>
  <c r="L875" i="1"/>
  <c r="M875" i="1"/>
  <c r="N875" i="1"/>
  <c r="O875" i="1"/>
  <c r="P875" i="1"/>
  <c r="Q875" i="1"/>
  <c r="R875" i="1"/>
  <c r="S875" i="1"/>
  <c r="T875" i="1"/>
  <c r="U875" i="1"/>
  <c r="A794" i="1"/>
  <c r="B794" i="1"/>
  <c r="C794" i="1"/>
  <c r="D794" i="1"/>
  <c r="E794" i="1"/>
  <c r="F794" i="1"/>
  <c r="G794" i="1"/>
  <c r="H794" i="1"/>
  <c r="I794" i="1"/>
  <c r="J794" i="1"/>
  <c r="K794" i="1"/>
  <c r="L794" i="1"/>
  <c r="M794" i="1"/>
  <c r="N794" i="1"/>
  <c r="O794" i="1"/>
  <c r="P794" i="1"/>
  <c r="Q794" i="1"/>
  <c r="R794" i="1"/>
  <c r="S794" i="1"/>
  <c r="T794" i="1"/>
  <c r="U794" i="1"/>
  <c r="A793" i="1"/>
  <c r="B793" i="1"/>
  <c r="C793" i="1"/>
  <c r="D793" i="1"/>
  <c r="E793" i="1"/>
  <c r="F793" i="1"/>
  <c r="G793" i="1"/>
  <c r="H793" i="1"/>
  <c r="I793" i="1"/>
  <c r="J793" i="1"/>
  <c r="K793" i="1"/>
  <c r="L793" i="1"/>
  <c r="M793" i="1"/>
  <c r="N793" i="1"/>
  <c r="O793" i="1"/>
  <c r="P793" i="1"/>
  <c r="Q793" i="1"/>
  <c r="R793" i="1"/>
  <c r="S793" i="1"/>
  <c r="T793" i="1"/>
  <c r="U793" i="1"/>
  <c r="A795" i="1"/>
  <c r="B795" i="1"/>
  <c r="C795" i="1"/>
  <c r="D795" i="1"/>
  <c r="E795" i="1"/>
  <c r="F795" i="1"/>
  <c r="G795" i="1"/>
  <c r="H795" i="1"/>
  <c r="I795" i="1"/>
  <c r="J795" i="1"/>
  <c r="K795" i="1"/>
  <c r="L795" i="1"/>
  <c r="M795" i="1"/>
  <c r="N795" i="1"/>
  <c r="O795" i="1"/>
  <c r="P795" i="1"/>
  <c r="Q795" i="1"/>
  <c r="R795" i="1"/>
  <c r="S795" i="1"/>
  <c r="T795" i="1"/>
  <c r="U795" i="1"/>
  <c r="A792" i="1"/>
  <c r="B792" i="1"/>
  <c r="C792" i="1"/>
  <c r="D792" i="1"/>
  <c r="E792" i="1"/>
  <c r="F792" i="1"/>
  <c r="G792" i="1"/>
  <c r="H792" i="1"/>
  <c r="I792" i="1"/>
  <c r="J792" i="1"/>
  <c r="K792" i="1"/>
  <c r="L792" i="1"/>
  <c r="M792" i="1"/>
  <c r="N792" i="1"/>
  <c r="O792" i="1"/>
  <c r="P792" i="1"/>
  <c r="Q792" i="1"/>
  <c r="R792" i="1"/>
  <c r="S792" i="1"/>
  <c r="T792" i="1"/>
  <c r="U792" i="1"/>
  <c r="A744" i="1"/>
  <c r="B744" i="1"/>
  <c r="C744" i="1"/>
  <c r="D744" i="1"/>
  <c r="E744" i="1"/>
  <c r="F744" i="1"/>
  <c r="G744" i="1"/>
  <c r="H744" i="1"/>
  <c r="I744" i="1"/>
  <c r="J744" i="1"/>
  <c r="K744" i="1"/>
  <c r="L744" i="1"/>
  <c r="M744" i="1"/>
  <c r="N744" i="1"/>
  <c r="O744" i="1"/>
  <c r="P744" i="1"/>
  <c r="Q744" i="1"/>
  <c r="R744" i="1"/>
  <c r="S744" i="1"/>
  <c r="T744" i="1"/>
  <c r="U744" i="1"/>
  <c r="A700" i="1"/>
  <c r="B700" i="1"/>
  <c r="C700" i="1"/>
  <c r="D700" i="1"/>
  <c r="E700" i="1"/>
  <c r="F700" i="1"/>
  <c r="G700" i="1"/>
  <c r="H700" i="1"/>
  <c r="I700" i="1"/>
  <c r="J700" i="1"/>
  <c r="K700" i="1"/>
  <c r="L700" i="1"/>
  <c r="M700" i="1"/>
  <c r="N700" i="1"/>
  <c r="O700" i="1"/>
  <c r="P700" i="1"/>
  <c r="Q700" i="1"/>
  <c r="R700" i="1"/>
  <c r="S700" i="1"/>
  <c r="T700" i="1"/>
  <c r="U700" i="1"/>
  <c r="A701" i="1"/>
  <c r="B701" i="1"/>
  <c r="C701" i="1"/>
  <c r="D701" i="1"/>
  <c r="E701" i="1"/>
  <c r="F701" i="1"/>
  <c r="G701" i="1"/>
  <c r="H701" i="1"/>
  <c r="I701" i="1"/>
  <c r="J701" i="1"/>
  <c r="K701" i="1"/>
  <c r="L701" i="1"/>
  <c r="M701" i="1"/>
  <c r="N701" i="1"/>
  <c r="O701" i="1"/>
  <c r="P701" i="1"/>
  <c r="Q701" i="1"/>
  <c r="R701" i="1"/>
  <c r="S701" i="1"/>
  <c r="T701" i="1"/>
  <c r="U701" i="1"/>
  <c r="A702" i="1"/>
  <c r="B702" i="1"/>
  <c r="C702" i="1"/>
  <c r="D702" i="1"/>
  <c r="E702" i="1"/>
  <c r="F702" i="1"/>
  <c r="G702" i="1"/>
  <c r="H702" i="1"/>
  <c r="I702" i="1"/>
  <c r="J702" i="1"/>
  <c r="K702" i="1"/>
  <c r="L702" i="1"/>
  <c r="M702" i="1"/>
  <c r="N702" i="1"/>
  <c r="O702" i="1"/>
  <c r="P702" i="1"/>
  <c r="Q702" i="1"/>
  <c r="R702" i="1"/>
  <c r="S702" i="1"/>
  <c r="T702" i="1"/>
  <c r="U702" i="1"/>
  <c r="A703" i="1"/>
  <c r="B703" i="1"/>
  <c r="C703" i="1"/>
  <c r="D703" i="1"/>
  <c r="E703" i="1"/>
  <c r="F703" i="1"/>
  <c r="G703" i="1"/>
  <c r="H703" i="1"/>
  <c r="I703" i="1"/>
  <c r="J703" i="1"/>
  <c r="K703" i="1"/>
  <c r="L703" i="1"/>
  <c r="M703" i="1"/>
  <c r="N703" i="1"/>
  <c r="O703" i="1"/>
  <c r="P703" i="1"/>
  <c r="Q703" i="1"/>
  <c r="R703" i="1"/>
  <c r="S703" i="1"/>
  <c r="T703" i="1"/>
  <c r="U703" i="1"/>
  <c r="A704" i="1"/>
  <c r="B704" i="1"/>
  <c r="C704" i="1"/>
  <c r="D704" i="1"/>
  <c r="E704" i="1"/>
  <c r="F704" i="1"/>
  <c r="G704" i="1"/>
  <c r="H704" i="1"/>
  <c r="I704" i="1"/>
  <c r="J704" i="1"/>
  <c r="K704" i="1"/>
  <c r="L704" i="1"/>
  <c r="M704" i="1"/>
  <c r="N704" i="1"/>
  <c r="O704" i="1"/>
  <c r="P704" i="1"/>
  <c r="Q704" i="1"/>
  <c r="R704" i="1"/>
  <c r="S704" i="1"/>
  <c r="T704" i="1"/>
  <c r="U704" i="1"/>
  <c r="A705" i="1"/>
  <c r="B705" i="1"/>
  <c r="C705" i="1"/>
  <c r="D705" i="1"/>
  <c r="E705" i="1"/>
  <c r="F705" i="1"/>
  <c r="G705" i="1"/>
  <c r="H705" i="1"/>
  <c r="I705" i="1"/>
  <c r="J705" i="1"/>
  <c r="K705" i="1"/>
  <c r="L705" i="1"/>
  <c r="M705" i="1"/>
  <c r="N705" i="1"/>
  <c r="O705" i="1"/>
  <c r="P705" i="1"/>
  <c r="Q705" i="1"/>
  <c r="R705" i="1"/>
  <c r="S705" i="1"/>
  <c r="T705" i="1"/>
  <c r="U705" i="1"/>
  <c r="A706" i="1"/>
  <c r="B706" i="1"/>
  <c r="C706" i="1"/>
  <c r="D706" i="1"/>
  <c r="E706" i="1"/>
  <c r="F706" i="1"/>
  <c r="G706" i="1"/>
  <c r="H706" i="1"/>
  <c r="I706" i="1"/>
  <c r="J706" i="1"/>
  <c r="K706" i="1"/>
  <c r="L706" i="1"/>
  <c r="M706" i="1"/>
  <c r="N706" i="1"/>
  <c r="O706" i="1"/>
  <c r="P706" i="1"/>
  <c r="Q706" i="1"/>
  <c r="R706" i="1"/>
  <c r="S706" i="1"/>
  <c r="T706" i="1"/>
  <c r="U706" i="1"/>
  <c r="A707" i="1"/>
  <c r="B707" i="1"/>
  <c r="C707" i="1"/>
  <c r="D707" i="1"/>
  <c r="E707" i="1"/>
  <c r="F707" i="1"/>
  <c r="G707" i="1"/>
  <c r="H707" i="1"/>
  <c r="I707" i="1"/>
  <c r="J707" i="1"/>
  <c r="K707" i="1"/>
  <c r="L707" i="1"/>
  <c r="M707" i="1"/>
  <c r="N707" i="1"/>
  <c r="O707" i="1"/>
  <c r="P707" i="1"/>
  <c r="Q707" i="1"/>
  <c r="R707" i="1"/>
  <c r="S707" i="1"/>
  <c r="T707" i="1"/>
  <c r="U707" i="1"/>
  <c r="A699" i="1"/>
  <c r="B699" i="1"/>
  <c r="C699" i="1"/>
  <c r="D699" i="1"/>
  <c r="E699" i="1"/>
  <c r="F699" i="1"/>
  <c r="G699" i="1"/>
  <c r="H699" i="1"/>
  <c r="I699" i="1"/>
  <c r="J699" i="1"/>
  <c r="K699" i="1"/>
  <c r="L699" i="1"/>
  <c r="M699" i="1"/>
  <c r="N699" i="1"/>
  <c r="O699" i="1"/>
  <c r="Q699" i="1"/>
  <c r="R699" i="1"/>
  <c r="S699" i="1"/>
  <c r="T699" i="1"/>
  <c r="U699" i="1"/>
  <c r="A389" i="1"/>
  <c r="B389" i="1"/>
  <c r="C389" i="1"/>
  <c r="D389" i="1"/>
  <c r="E389" i="1"/>
  <c r="F389" i="1"/>
  <c r="G389" i="1"/>
  <c r="H389" i="1"/>
  <c r="I389" i="1"/>
  <c r="J389" i="1"/>
  <c r="K389" i="1"/>
  <c r="L389" i="1"/>
  <c r="M389" i="1"/>
  <c r="N389" i="1"/>
  <c r="O389" i="1"/>
  <c r="P389" i="1"/>
  <c r="Q389" i="1"/>
  <c r="R389" i="1"/>
  <c r="S389" i="1"/>
  <c r="T389" i="1"/>
  <c r="U389" i="1"/>
  <c r="A509" i="1"/>
  <c r="B509" i="1"/>
  <c r="C509" i="1"/>
  <c r="D509" i="1"/>
  <c r="E509" i="1"/>
  <c r="F509" i="1"/>
  <c r="G509" i="1"/>
  <c r="H509" i="1"/>
  <c r="I509" i="1"/>
  <c r="J509" i="1"/>
  <c r="K509" i="1"/>
  <c r="L509" i="1"/>
  <c r="M509" i="1"/>
  <c r="N509" i="1"/>
  <c r="O509" i="1"/>
  <c r="P509" i="1"/>
  <c r="Q509" i="1"/>
  <c r="R509" i="1"/>
  <c r="S509" i="1"/>
  <c r="T509" i="1"/>
  <c r="U509" i="1"/>
  <c r="A447" i="1"/>
  <c r="B447" i="1"/>
  <c r="C447" i="1"/>
  <c r="D447" i="1"/>
  <c r="E447" i="1"/>
  <c r="F447" i="1"/>
  <c r="G447" i="1"/>
  <c r="H447" i="1"/>
  <c r="I447" i="1"/>
  <c r="J447" i="1"/>
  <c r="K447" i="1"/>
  <c r="L447" i="1"/>
  <c r="M447" i="1"/>
  <c r="N447" i="1"/>
  <c r="O447" i="1"/>
  <c r="P447" i="1"/>
  <c r="Q447" i="1"/>
  <c r="R447" i="1"/>
  <c r="S447" i="1"/>
  <c r="T447" i="1"/>
  <c r="U447" i="1"/>
  <c r="A443" i="1"/>
  <c r="B443" i="1"/>
  <c r="C443" i="1"/>
  <c r="D443" i="1"/>
  <c r="E443" i="1"/>
  <c r="F443" i="1"/>
  <c r="G443" i="1"/>
  <c r="H443" i="1"/>
  <c r="I443" i="1"/>
  <c r="J443" i="1"/>
  <c r="K443" i="1"/>
  <c r="L443" i="1"/>
  <c r="M443" i="1"/>
  <c r="N443" i="1"/>
  <c r="O443" i="1"/>
  <c r="P443" i="1"/>
  <c r="Q443" i="1"/>
  <c r="R443" i="1"/>
  <c r="S443" i="1"/>
  <c r="T443" i="1"/>
  <c r="U443" i="1"/>
  <c r="A444" i="1"/>
  <c r="B444" i="1"/>
  <c r="C444" i="1"/>
  <c r="D444" i="1"/>
  <c r="E444" i="1"/>
  <c r="F444" i="1"/>
  <c r="G444" i="1"/>
  <c r="H444" i="1"/>
  <c r="I444" i="1"/>
  <c r="J444" i="1"/>
  <c r="K444" i="1"/>
  <c r="L444" i="1"/>
  <c r="M444" i="1"/>
  <c r="N444" i="1"/>
  <c r="O444" i="1"/>
  <c r="P444" i="1"/>
  <c r="Q444" i="1"/>
  <c r="R444" i="1"/>
  <c r="S444" i="1"/>
  <c r="U444" i="1"/>
  <c r="A445" i="1"/>
  <c r="B445" i="1"/>
  <c r="C445" i="1"/>
  <c r="D445" i="1"/>
  <c r="E445" i="1"/>
  <c r="F445" i="1"/>
  <c r="G445" i="1"/>
  <c r="H445" i="1"/>
  <c r="I445" i="1"/>
  <c r="J445" i="1"/>
  <c r="K445" i="1"/>
  <c r="L445" i="1"/>
  <c r="M445" i="1"/>
  <c r="N445" i="1"/>
  <c r="O445" i="1"/>
  <c r="P445" i="1"/>
  <c r="Q445" i="1"/>
  <c r="R445" i="1"/>
  <c r="S445" i="1"/>
  <c r="T445" i="1"/>
  <c r="U445" i="1"/>
  <c r="A446" i="1"/>
  <c r="B446" i="1"/>
  <c r="C446" i="1"/>
  <c r="D446" i="1"/>
  <c r="E446" i="1"/>
  <c r="F446" i="1"/>
  <c r="G446" i="1"/>
  <c r="H446" i="1"/>
  <c r="I446" i="1"/>
  <c r="J446" i="1"/>
  <c r="K446" i="1"/>
  <c r="L446" i="1"/>
  <c r="M446" i="1"/>
  <c r="N446" i="1"/>
  <c r="O446" i="1"/>
  <c r="P446" i="1"/>
  <c r="Q446" i="1"/>
  <c r="R446" i="1"/>
  <c r="S446" i="1"/>
  <c r="T446" i="1"/>
  <c r="U446" i="1"/>
  <c r="A385" i="1"/>
  <c r="B385" i="1"/>
  <c r="C385" i="1"/>
  <c r="D385" i="1"/>
  <c r="E385" i="1"/>
  <c r="F385" i="1"/>
  <c r="G385" i="1"/>
  <c r="H385" i="1"/>
  <c r="I385" i="1"/>
  <c r="J385" i="1"/>
  <c r="K385" i="1"/>
  <c r="L385" i="1"/>
  <c r="M385" i="1"/>
  <c r="N385" i="1"/>
  <c r="O385" i="1"/>
  <c r="P385" i="1"/>
  <c r="Q385" i="1"/>
  <c r="R385" i="1"/>
  <c r="S385" i="1"/>
  <c r="T385" i="1"/>
  <c r="U385" i="1"/>
  <c r="A386" i="1"/>
  <c r="B386" i="1"/>
  <c r="C386" i="1"/>
  <c r="D386" i="1"/>
  <c r="E386" i="1"/>
  <c r="F386" i="1"/>
  <c r="G386" i="1"/>
  <c r="H386" i="1"/>
  <c r="I386" i="1"/>
  <c r="J386" i="1"/>
  <c r="K386" i="1"/>
  <c r="L386" i="1"/>
  <c r="M386" i="1"/>
  <c r="N386" i="1"/>
  <c r="O386" i="1"/>
  <c r="P386" i="1"/>
  <c r="Q386" i="1"/>
  <c r="R386" i="1"/>
  <c r="S386" i="1"/>
  <c r="T386" i="1"/>
  <c r="U386" i="1"/>
  <c r="A387" i="1"/>
  <c r="B387" i="1"/>
  <c r="C387" i="1"/>
  <c r="D387" i="1"/>
  <c r="E387" i="1"/>
  <c r="F387" i="1"/>
  <c r="G387" i="1"/>
  <c r="H387" i="1"/>
  <c r="I387" i="1"/>
  <c r="J387" i="1"/>
  <c r="K387" i="1"/>
  <c r="L387" i="1"/>
  <c r="M387" i="1"/>
  <c r="N387" i="1"/>
  <c r="O387" i="1"/>
  <c r="P387" i="1"/>
  <c r="Q387" i="1"/>
  <c r="R387" i="1"/>
  <c r="S387" i="1"/>
  <c r="T387" i="1"/>
  <c r="U387" i="1"/>
  <c r="A388" i="1"/>
  <c r="B388" i="1"/>
  <c r="C388" i="1"/>
  <c r="D388" i="1"/>
  <c r="E388" i="1"/>
  <c r="F388" i="1"/>
  <c r="G388" i="1"/>
  <c r="H388" i="1"/>
  <c r="I388" i="1"/>
  <c r="J388" i="1"/>
  <c r="K388" i="1"/>
  <c r="L388" i="1"/>
  <c r="M388" i="1"/>
  <c r="N388" i="1"/>
  <c r="O388" i="1"/>
  <c r="P388" i="1"/>
  <c r="Q388" i="1"/>
  <c r="R388" i="1"/>
  <c r="S388" i="1"/>
  <c r="T388" i="1"/>
  <c r="U388" i="1"/>
  <c r="A632" i="1"/>
  <c r="B632" i="1"/>
  <c r="C632" i="1"/>
  <c r="D632" i="1"/>
  <c r="E632" i="1"/>
  <c r="F632" i="1"/>
  <c r="G632" i="1"/>
  <c r="H632" i="1"/>
  <c r="I632" i="1"/>
  <c r="J632" i="1"/>
  <c r="K632" i="1"/>
  <c r="L632" i="1"/>
  <c r="M632" i="1"/>
  <c r="N632" i="1"/>
  <c r="O632" i="1"/>
  <c r="Q632" i="1"/>
  <c r="R632" i="1"/>
  <c r="S632" i="1"/>
  <c r="U632" i="1"/>
  <c r="A384" i="1"/>
  <c r="B384" i="1"/>
  <c r="C384" i="1"/>
  <c r="D384" i="1"/>
  <c r="E384" i="1"/>
  <c r="F384" i="1"/>
  <c r="G384" i="1"/>
  <c r="H384" i="1"/>
  <c r="I384" i="1"/>
  <c r="J384" i="1"/>
  <c r="K384" i="1"/>
  <c r="M384" i="1"/>
  <c r="N384" i="1"/>
  <c r="O384" i="1"/>
  <c r="P384" i="1"/>
  <c r="Q384" i="1"/>
  <c r="R384" i="1"/>
  <c r="S384" i="1"/>
  <c r="T384" i="1"/>
  <c r="U384" i="1"/>
  <c r="A382" i="1"/>
  <c r="B382" i="1"/>
  <c r="C382" i="1"/>
  <c r="D382" i="1"/>
  <c r="E382" i="1"/>
  <c r="F382" i="1"/>
  <c r="G382" i="1"/>
  <c r="H382" i="1"/>
  <c r="I382" i="1"/>
  <c r="J382" i="1"/>
  <c r="K382" i="1"/>
  <c r="L382" i="1"/>
  <c r="M382" i="1"/>
  <c r="N382" i="1"/>
  <c r="O382" i="1"/>
  <c r="Q382" i="1"/>
  <c r="R382" i="1"/>
  <c r="S382" i="1"/>
  <c r="T382" i="1"/>
  <c r="U382" i="1"/>
  <c r="A383" i="1"/>
  <c r="B383" i="1"/>
  <c r="C383" i="1"/>
  <c r="D383" i="1"/>
  <c r="E383" i="1"/>
  <c r="F383" i="1"/>
  <c r="G383" i="1"/>
  <c r="H383" i="1"/>
  <c r="I383" i="1"/>
  <c r="J383" i="1"/>
  <c r="K383" i="1"/>
  <c r="L383" i="1"/>
  <c r="M383" i="1"/>
  <c r="N383" i="1"/>
  <c r="O383" i="1"/>
  <c r="P383" i="1"/>
  <c r="Q383" i="1"/>
  <c r="R383" i="1"/>
  <c r="S383" i="1"/>
  <c r="U383" i="1"/>
  <c r="A175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O175" i="1"/>
  <c r="P175" i="1"/>
  <c r="Q175" i="1"/>
  <c r="R175" i="1"/>
  <c r="S175" i="1"/>
  <c r="T175" i="1"/>
  <c r="U175" i="1"/>
  <c r="A242" i="1"/>
  <c r="B242" i="1"/>
  <c r="C242" i="1"/>
  <c r="D242" i="1"/>
  <c r="E242" i="1"/>
  <c r="F242" i="1"/>
  <c r="G242" i="1"/>
  <c r="H242" i="1"/>
  <c r="I242" i="1"/>
  <c r="J242" i="1"/>
  <c r="L242" i="1"/>
  <c r="M242" i="1"/>
  <c r="N242" i="1"/>
  <c r="O242" i="1"/>
  <c r="P242" i="1"/>
  <c r="Q242" i="1"/>
  <c r="R242" i="1"/>
  <c r="S242" i="1"/>
  <c r="T242" i="1"/>
  <c r="U242" i="1"/>
  <c r="A243" i="1"/>
  <c r="B243" i="1"/>
  <c r="C243" i="1"/>
  <c r="D243" i="1"/>
  <c r="E243" i="1"/>
  <c r="F243" i="1"/>
  <c r="G243" i="1"/>
  <c r="H243" i="1"/>
  <c r="I243" i="1"/>
  <c r="J243" i="1"/>
  <c r="K243" i="1"/>
  <c r="L243" i="1"/>
  <c r="M243" i="1"/>
  <c r="N243" i="1"/>
  <c r="O243" i="1"/>
  <c r="P243" i="1"/>
  <c r="Q243" i="1"/>
  <c r="R243" i="1"/>
  <c r="S243" i="1"/>
  <c r="T243" i="1"/>
  <c r="U243" i="1"/>
  <c r="A244" i="1"/>
  <c r="B244" i="1"/>
  <c r="C244" i="1"/>
  <c r="D244" i="1"/>
  <c r="E244" i="1"/>
  <c r="F244" i="1"/>
  <c r="G244" i="1"/>
  <c r="H244" i="1"/>
  <c r="I244" i="1"/>
  <c r="J244" i="1"/>
  <c r="K244" i="1"/>
  <c r="L244" i="1"/>
  <c r="M244" i="1"/>
  <c r="N244" i="1"/>
  <c r="O244" i="1"/>
  <c r="P244" i="1"/>
  <c r="Q244" i="1"/>
  <c r="R244" i="1"/>
  <c r="S244" i="1"/>
  <c r="T244" i="1"/>
  <c r="U244" i="1"/>
  <c r="A245" i="1"/>
  <c r="B245" i="1"/>
  <c r="C245" i="1"/>
  <c r="D245" i="1"/>
  <c r="E245" i="1"/>
  <c r="F245" i="1"/>
  <c r="G245" i="1"/>
  <c r="H245" i="1"/>
  <c r="I245" i="1"/>
  <c r="J245" i="1"/>
  <c r="K245" i="1"/>
  <c r="L245" i="1"/>
  <c r="M245" i="1"/>
  <c r="N245" i="1"/>
  <c r="O245" i="1"/>
  <c r="P245" i="1"/>
  <c r="Q245" i="1"/>
  <c r="R245" i="1"/>
  <c r="S245" i="1"/>
  <c r="T245" i="1"/>
  <c r="U245" i="1"/>
  <c r="A251" i="1"/>
  <c r="B251" i="1"/>
  <c r="C251" i="1"/>
  <c r="D251" i="1"/>
  <c r="E251" i="1"/>
  <c r="F251" i="1"/>
  <c r="G251" i="1"/>
  <c r="H251" i="1"/>
  <c r="I251" i="1"/>
  <c r="J251" i="1"/>
  <c r="K251" i="1"/>
  <c r="M251" i="1"/>
  <c r="N251" i="1"/>
  <c r="O251" i="1"/>
  <c r="P251" i="1"/>
  <c r="Q251" i="1"/>
  <c r="R251" i="1"/>
  <c r="S251" i="1"/>
  <c r="T251" i="1"/>
  <c r="U251" i="1"/>
  <c r="A250" i="1"/>
  <c r="B250" i="1"/>
  <c r="C250" i="1"/>
  <c r="D250" i="1"/>
  <c r="E250" i="1"/>
  <c r="F250" i="1"/>
  <c r="G250" i="1"/>
  <c r="H250" i="1"/>
  <c r="I250" i="1"/>
  <c r="J250" i="1"/>
  <c r="K250" i="1"/>
  <c r="L250" i="1"/>
  <c r="M250" i="1"/>
  <c r="N250" i="1"/>
  <c r="O250" i="1"/>
  <c r="P250" i="1"/>
  <c r="Q250" i="1"/>
  <c r="R250" i="1"/>
  <c r="S250" i="1"/>
  <c r="T250" i="1"/>
  <c r="U250" i="1"/>
  <c r="A246" i="1"/>
  <c r="B246" i="1"/>
  <c r="C246" i="1"/>
  <c r="D246" i="1"/>
  <c r="E246" i="1"/>
  <c r="F246" i="1"/>
  <c r="G246" i="1"/>
  <c r="H246" i="1"/>
  <c r="I246" i="1"/>
  <c r="J246" i="1"/>
  <c r="K246" i="1"/>
  <c r="L246" i="1"/>
  <c r="M246" i="1"/>
  <c r="N246" i="1"/>
  <c r="O246" i="1"/>
  <c r="P246" i="1"/>
  <c r="Q246" i="1"/>
  <c r="R246" i="1"/>
  <c r="S246" i="1"/>
  <c r="T246" i="1"/>
  <c r="U246" i="1"/>
  <c r="A247" i="1"/>
  <c r="B247" i="1"/>
  <c r="C247" i="1"/>
  <c r="D247" i="1"/>
  <c r="E247" i="1"/>
  <c r="F247" i="1"/>
  <c r="G247" i="1"/>
  <c r="H247" i="1"/>
  <c r="I247" i="1"/>
  <c r="J247" i="1"/>
  <c r="K247" i="1"/>
  <c r="L247" i="1"/>
  <c r="M247" i="1"/>
  <c r="N247" i="1"/>
  <c r="O247" i="1"/>
  <c r="P247" i="1"/>
  <c r="Q247" i="1"/>
  <c r="R247" i="1"/>
  <c r="S247" i="1"/>
  <c r="T247" i="1"/>
  <c r="U247" i="1"/>
  <c r="A252" i="1"/>
  <c r="B252" i="1"/>
  <c r="C252" i="1"/>
  <c r="D252" i="1"/>
  <c r="E252" i="1"/>
  <c r="F252" i="1"/>
  <c r="G252" i="1"/>
  <c r="H252" i="1"/>
  <c r="I252" i="1"/>
  <c r="J252" i="1"/>
  <c r="K252" i="1"/>
  <c r="L252" i="1"/>
  <c r="M252" i="1"/>
  <c r="N252" i="1"/>
  <c r="O252" i="1"/>
  <c r="P252" i="1"/>
  <c r="Q252" i="1"/>
  <c r="R252" i="1"/>
  <c r="S252" i="1"/>
  <c r="T252" i="1"/>
  <c r="U252" i="1"/>
  <c r="A248" i="1"/>
  <c r="B248" i="1"/>
  <c r="C248" i="1"/>
  <c r="D248" i="1"/>
  <c r="E248" i="1"/>
  <c r="F248" i="1"/>
  <c r="G248" i="1"/>
  <c r="H248" i="1"/>
  <c r="I248" i="1"/>
  <c r="J248" i="1"/>
  <c r="K248" i="1"/>
  <c r="L248" i="1"/>
  <c r="M248" i="1"/>
  <c r="N248" i="1"/>
  <c r="O248" i="1"/>
  <c r="P248" i="1"/>
  <c r="Q248" i="1"/>
  <c r="R248" i="1"/>
  <c r="S248" i="1"/>
  <c r="T248" i="1"/>
  <c r="U248" i="1"/>
  <c r="A249" i="1"/>
  <c r="B249" i="1"/>
  <c r="C249" i="1"/>
  <c r="D249" i="1"/>
  <c r="E249" i="1"/>
  <c r="F249" i="1"/>
  <c r="G249" i="1"/>
  <c r="H249" i="1"/>
  <c r="I249" i="1"/>
  <c r="J249" i="1"/>
  <c r="K249" i="1"/>
  <c r="L249" i="1"/>
  <c r="M249" i="1"/>
  <c r="N249" i="1"/>
  <c r="O249" i="1"/>
  <c r="P249" i="1"/>
  <c r="Q249" i="1"/>
  <c r="R249" i="1"/>
  <c r="S249" i="1"/>
  <c r="T249" i="1"/>
  <c r="U249" i="1"/>
  <c r="A173" i="1"/>
  <c r="B173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O173" i="1"/>
  <c r="P173" i="1"/>
  <c r="Q173" i="1"/>
  <c r="R173" i="1"/>
  <c r="S173" i="1"/>
  <c r="T173" i="1"/>
  <c r="U173" i="1"/>
  <c r="A174" i="1"/>
  <c r="B174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O174" i="1"/>
  <c r="P174" i="1"/>
  <c r="Q174" i="1"/>
  <c r="R174" i="1"/>
  <c r="S174" i="1"/>
  <c r="T174" i="1"/>
  <c r="U174" i="1"/>
  <c r="A172" i="1"/>
  <c r="B172" i="1"/>
  <c r="C172" i="1"/>
  <c r="D172" i="1"/>
  <c r="E172" i="1"/>
  <c r="F172" i="1"/>
  <c r="G172" i="1"/>
  <c r="H172" i="1"/>
  <c r="I172" i="1"/>
  <c r="J172" i="1"/>
  <c r="L172" i="1"/>
  <c r="M172" i="1"/>
  <c r="N172" i="1"/>
  <c r="O172" i="1"/>
  <c r="P172" i="1"/>
  <c r="Q172" i="1"/>
  <c r="R172" i="1"/>
  <c r="S172" i="1"/>
  <c r="T172" i="1"/>
  <c r="U172" i="1"/>
  <c r="A2" i="1"/>
  <c r="B2" i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A998" i="1"/>
  <c r="B998" i="1"/>
  <c r="C998" i="1"/>
  <c r="D998" i="1"/>
  <c r="E998" i="1"/>
  <c r="F998" i="1"/>
  <c r="G998" i="1"/>
  <c r="H998" i="1"/>
  <c r="I998" i="1"/>
  <c r="J998" i="1"/>
  <c r="L998" i="1"/>
  <c r="M998" i="1"/>
  <c r="N998" i="1"/>
  <c r="O998" i="1"/>
  <c r="Q998" i="1"/>
  <c r="R998" i="1"/>
  <c r="S998" i="1"/>
  <c r="T998" i="1"/>
  <c r="U998" i="1"/>
</calcChain>
</file>

<file path=xl/sharedStrings.xml><?xml version="1.0" encoding="utf-8"?>
<sst xmlns="http://schemas.openxmlformats.org/spreadsheetml/2006/main" count="374" uniqueCount="374">
  <si>
    <t>Tipo</t>
  </si>
  <si>
    <t>Oggetto</t>
  </si>
  <si>
    <t>CIG</t>
  </si>
  <si>
    <t>Data pubblicazione</t>
  </si>
  <si>
    <t>Data aggiudicazione</t>
  </si>
  <si>
    <t>Data di scadenza</t>
  </si>
  <si>
    <t>Importo di aggiudicazione</t>
  </si>
  <si>
    <t>Ragione sociale Stazione appaltante</t>
  </si>
  <si>
    <t>Codice fiscale Stazione appaltante</t>
  </si>
  <si>
    <t>Procedura di scelta del contraente</t>
  </si>
  <si>
    <t>Data inizio lavori</t>
  </si>
  <si>
    <t>Data fine lavori</t>
  </si>
  <si>
    <t>Responsabile unico procedimento</t>
  </si>
  <si>
    <t>Partecipanti/invitati a partecipare</t>
  </si>
  <si>
    <t>Aggiudicatario</t>
  </si>
  <si>
    <t>Dettaglio somme liquidate</t>
  </si>
  <si>
    <t>URL committente</t>
  </si>
  <si>
    <t>URL e-procurement</t>
  </si>
  <si>
    <t>Note</t>
  </si>
  <si>
    <t>Dettaglio</t>
  </si>
  <si>
    <t>Allegati</t>
  </si>
  <si>
    <t>="https://portaletrasparenza.consorziobacchiglione.it/dettagli/attodigara/7381/contratto-di-manutenzione-e-assistenza-dei-gestionali-relativi-a-protocollo-informatico-repertorio-compresi-esportatori-di-pubblicazione-on-line-predisposizione-di-atti-e-determine-ed-esportatore-trasparenza-triennio-2.html"</t>
  </si>
  <si>
    <t>="Capparotto s.r.l. | Costruzioni Ing. Carlo Broetto s.r.l. con Unico Socio | Costruzioni Stradali Martini Silvestro s.r.l. | LF Costruzioni s.r.l. | La Cittadella s.n.c. di Ferrara Andrea E C. | Impresa Costruzioni Tollot s.r.l. | Brenta Lavori s.r.l | CONSORZIO CORMA | RCM IMPRESA DI COSTRUZIONI S.N.C.DI RICO' MASSIMO, CLAUDIO E IVO | MU.BRE COSTRUZIONI S.R.L. | COSTRUZIONI COGATO GEOM. ALBERTO S.R.L. | RETE COSTRUTTORI BOLOGNA | COGEFRI INFRASTRUTTURE SRL | VENETA21 SRL | Bertoia Impresa Costruzioni s.r.l. | Edilcostruzioni Nardo Giocondo | CGM s.r.l. | Consorzio stabile F2B | Consorzio Stabile Pentagono s.c.a.r.l. | COSTRUZIONI MAR.TE. S.R.L. | Diva s.r.l. | F.LLI BARRESI COSTRUZIONI S.R.L. | GRUPPO VENERE S.R.L. | ICT S.R.L. | I.L.S.E.T. S.R.L. | Mosè s.r.l. | S.I.C.I. S.R.L. | VICA S.R.L. | Ing. Due s.r.l. | Raggruppamento 1 [CIG: 8944261DA9] | Raggruppamento 2 [CIG: 8944261DA9]"</t>
  </si>
  <si>
    <t>="https://portaletrasparenza.consorziobacchiglione.it/dettagli/attodigara/6509/id-018-20-lavori-di-completamento-dei-manufatti-relativi-alla-ricalibratura-dello-scolo-altipiano-demolizione-e-ricostruzione-del-ponte-di-via-idrovora-in-localita-santa-margherita-di-codevigo-pd.html"</t>
  </si>
  <si>
    <t>="https://portaletrasparenza.consorziobacchiglione.it/download/attodigara/6509/63e646e6253cb.PDF,https://portaletrasparenza.consorziobacchiglione.it/download/attodigara/6509/63e646e6aea2b.PDF,https://portaletrasparenza.consorziobacchiglione.it/download/attodigara/6509/63e646e9077dc.PDF"</t>
  </si>
  <si>
    <t>="https://portaletrasparenza.consorziobacchiglione.it/dettagli/attodigara/7390/riparazione-e-manutenzione-gruppo-elettrogeno-presso-idrovora-madonnetta-idrovora-trezze-idrovora-bovolenta-idrovora-fossetta-idrovora-maestro-idrovora-vaso-cavaizze-idrovora-bernio.html"</t>
  </si>
  <si>
    <t>="https://portaletrasparenza.consorziobacchiglione.it/dettagli/attodigara/7353/analisi-storica-ai-fini-della-valutazione-del-rischio-bellico-residuo-a-supporto-del-coordinatore-della-sicurezza-ai-sensi-del-d-lgs-81-2008-e-ss-mm-ii-l-177-2012-processo-id-027-21.html"</t>
  </si>
  <si>
    <t>="https://portaletrasparenza.consorziobacchiglione.it/dettagli/attodigara/7349/rilievo-topografico-perizia-di-stima-economica-valore-mercato-beni-immobili-oggetto-d-esproprio-assistenza-tecnica-alla-gestione-della-procedura-espropriativa-processo-id-027-21.html"</t>
  </si>
  <si>
    <t>="https://portaletrasparenza.consorziobacchiglione.it/dettagli/attodigara/6502/id-023-21-procedura-negoziata-previa-indagine-di-mercato-per-la-fornitura-di-pali-di-castagno-per-l-anno-2022-presso-i-cantieri-di-lavoro-di-ripresa-spondale-in-diretta-amministrazione-nell-ambito-del-comprensorio-del-consorzio-di-bonifica-b.html"</t>
  </si>
  <si>
    <t>="https://portaletrasparenza.consorziobacchiglione.it/dettagli/attodigara/7318/fornitura-1800-pali-in-castagno-con-punta-lunghi-mt-2-5-per-bacino-pratiarcati-e-monta-portello-da-consegnarsi-presso-il-c-o-di-bovolenta-materiale-da-consegnarsi-legati-in-fasci.html"</t>
  </si>
  <si>
    <t>="https://portaletrasparenza.consorziobacchiglione.it/dettagli/attodigara/7311/lavori-di-pulizia-chiavica-scolo-orsaro-e-smaltimento-del-materiale-di-risulta-presso-idoneo-impianto-di-trattamento-di-rifiuti-recupero-del-materiale-derivante-dalla-pulizia-del-fosso-di-via-magenta-oltre-che-al-trasfer.html"</t>
  </si>
  <si>
    <t>="https://portaletrasparenza.consorziobacchiglione.it/dettagli/attodigara/7305/fornitura-di-n-5-container-scarrabili-avente-dimensioni-come-da-preventivo-da-posizionarsi-presso-gli-impianti-ricadenti-all-interno-del-bacino-pratiarcati-per-raccolta-materiale-derivanti-dalle-operazioni-di-sgrigliat.html"</t>
  </si>
  <si>
    <t>="https://portaletrasparenza.consorziobacchiglione.it/dettagli/attodigara/7309/fornitura-di-n-4-container-scarrabili-e-n-1-container-scarrabile-con-tetto-da-posizionarsi-presso-gli-impianti-ricadenti-all-interno-del-bacino-sesta-presa-per-raccolta-materiale-derivanti-dalle-operazioni-di-sgrigliatu.html"</t>
  </si>
  <si>
    <t>="https://portaletrasparenza.consorziobacchiglione.it/dettagli/attodigara/7168/maggiori-opere-ai-lavori-principali-affidati-con-determina-510-del-27-07-21-per-costruzione-nuova-recinzione-in-calcestruzzo-presso-botte-tassia-per-delimitazione-dell-area-di-servizio-al-nuovo-sgrigliatore-di-futura-ins.html"</t>
  </si>
  <si>
    <t>="https://portaletrasparenza.consorziobacchiglione.it/dettagli/attodigara/1038/fornitura-n-16-rotoli-di-carta-gr-90-h-0-914-x-50-mt-per-plotter-n-1-cartuccia-codice-c9403a-n-1-cartuccia-codice-c9370a-n-1-cartuccia-codice-c9372a-n-1-cartuccia-codice-c9373a-n-1-cartuccia-codice-c9374a-per-sed.html"</t>
  </si>
  <si>
    <t>="https://portaletrasparenza.consorziobacchiglione.it/dettagli/attodigara/1019/fornitura-gruppo-di-continuita-slitte-per-nas-patch-panel-pc-fujitsu-refurbised-per-client-server-consorzio-e-catasto-esxi-e-espansione-ran-server-e-creazione-immagini-fisiche-vecchi-server-e-immagini-virtuali-dei-s.html"</t>
  </si>
  <si>
    <t>="https://portaletrasparenza.consorziobacchiglione.it/dettagli/attodigara/1008/affidamento-servizio-di-ristorazione-per-convegno-del-20-dicembre-2016-presentazione-al-pubblico-dei-risultati-del-progetto-di-valorizzazione-del-patrimonio-materiale-e-immateriale-dei-consorzi-di-bonifica-del-veneto.html"</t>
  </si>
  <si>
    <t>="https://portaletrasparenza.consorziobacchiglione.it/dettagli/attodigara/939/consulenza-per-l-adozione-del-modello-organizzativo-di-cui-al-d-lgs-231-2001-e-conseguente-adeguegaento-della-documentazione-in-materia-di-trasparenza-e-prevenzione-della-corruzione.html"</t>
  </si>
  <si>
    <t>="La Cittadella s.n.c. di Ferrara Andrea E C. Via Vallona 98 35020 Codevigo PD | Rossetto Bruno e Renato Snc Via XXV Aprile 22B 30010 Bojon di Campolongo Maggiore VE | Viel Giampaolo Via Altipiano 55 35020 S. Margherita di Codevigo PD | V.P.S. s.a.s. di Viel Claudio E C. Via E. Mattei 15 35020 Codevigo PD"</t>
  </si>
  <si>
    <t>="https://portaletrasparenza.consorziobacchiglione.it/dettagli/attodigara/894/consulenza-e-collaborazione-informatico-organizzativa-per-l-aggiornamento-delle-procedure-informatiche-ai-fini-dell-applicazione-delle-disposizioni-in-materia-di-anticorruzione.html"</t>
  </si>
  <si>
    <t>="https://portaletrasparenza.consorziobacchiglione.it/dettagli/attodigara/682/fornitura-e-posa-di-grigliati-pedonali-classe-1-in-acciaio-s235jr-zincato-a-caldo-bordati-maglia-15x77-piatto-portante-e-piatto-bordo-50x2-mm-per-il-completamento-delle-coperture-delle-tubazioni-di-scarico-lato-impiant.html"</t>
  </si>
  <si>
    <t>="https://portaletrasparenza.consorziobacchiglione.it/dettagli/attodigara/645/somme-a-disposizione-lavori-di-assistenza-e-messa-in-sicurezza-delle-linee-aeree-sottoservizi-e-viabilita-comunali-manufatto-telecom-ai-piedi-cavalcavia-camerini-rfi-via-canal-bianco-etc-processo-id-006-03.html"</t>
  </si>
  <si>
    <t>="https://portaletrasparenza.consorziobacchiglione.it/dettagli/attodigara/644/somme-in-diretta-amministrazione-fornitura-in-opera-di-componenti-elettromeccanici-di-miglioria-e-completamento-delle-strutture-di-scarico-dell-impianto-idrovoro-la-2-stazione-di-sollevamento-fiume-brenta-process.html"</t>
  </si>
  <si>
    <t>="https://portaletrasparenza.consorziobacchiglione.it/dettagli/attodigara/643/somme-in-diretta-amministrazione-lavori-di-completamento-e-miglioria-degli-impianti-elettrici-e-di-protezione-pompe-del-grasso-da-eseguirsi-presso-la-2-stazione-di-sollevamento-processo-id-006-03.html"</t>
  </si>
  <si>
    <t>="https://portaletrasparenza.consorziobacchiglione.it/dettagli/attodigara/629/somme-in-diretta-amministrazione-lavori-di-assistenza-per-spostamento-linee-aeree-e-di-sottoservizi-presenti-nella-zona-di-via-ca-panosso-via-rienza-e-ripristini-manufatti-a-ditte-espropriate-processo-id-006-03.html"</t>
  </si>
  <si>
    <t>="https://portaletrasparenza.consorziobacchiglione.it/dettagli/attodigara/540/lavori-di-fornitura-e-posa-cavidotto-competo-di-n-2-pozzetti-e-manufatto-alloggiamento-cassetta-enel-necessario-per-l-alimentazione-elettrica-all-impianto-di-protezione-catodica-processo-id-007-03.html"</t>
  </si>
  <si>
    <t>="https://portaletrasparenza.consorziobacchiglione.it/dettagli/attodigara/498/lavori-di-riapertura-bretella-di-collegamento-tra-via-po-e-via-tergola-ed-ulteriori-opere-richieste-dal-comune-di-padova-a-completamento-dei-lavori-di-sistemazione-della-viabilita-comunale-presso-via-istria-via-po-e.html"</t>
  </si>
  <si>
    <t>="https://portaletrasparenza.consorziobacchiglione.it/dettagli/attodigara/470/lavori-di-fornitura-e-posa-in-opera-di-travi-metalliche-e-grigliati-pedonali-di-copertura-in-acciaio-zincato-dei-pozzi-di-spinta-ed-arrivo-del-manufatto-di-attraversamento-dell-autostrada-a4-e-tangenziale-nord-di-pd.html"</t>
  </si>
  <si>
    <t>="https://portaletrasparenza.consorziobacchiglione.it/dettagli/attodigara/421/somme-a-disposizione-dell-amministrazione-fornitura-posa-di-terreno-vegetale-e-semina-per-la-sistemazione-esterna-del-piazzale-2-stazione-di-sollevamento-oltre-che-alle-ulteririori-lavorazioni-di-sistemazione-richie.html"</t>
  </si>
  <si>
    <t>="https://portaletrasparenza.consorziobacchiglione.it/dettagli/attodigara/362/2-stazione-di-sollevamento-lavori-di-fornitura-e-posa-di-impianto-di-messa-a-terra-mediante-collegamenti-di-equipotenzialita-alle-masse-esterne-relativamente-a-grigliati-di-copertura-tubazioni-di-scarico-agli-infiss.html"</t>
  </si>
  <si>
    <t>="https://portaletrasparenza.consorziobacchiglione.it/dettagli/attodigara/357/maggiori-lavorazioni-per-la-bonifica-bcm-nell-area-ex-cava-morandi-e-nelle-aree-di-attraversamento-delle-strade-comunali-interferenti-il-tracciato-dello-scolmatore-per-il-frazionamento-degli-interventi-con-il-traccia.html"</t>
  </si>
  <si>
    <t>="https://portaletrasparenza.consorziobacchiglione.it/dettagli/attodigara/308/smontaggio-completo-attuatore-drehmo-tipo-d500-fw-40-sostegno-canale-di-scarico-smontaggio-completo-motore-elettrico-e-pulizia-pompa-del-vuoto-robuschi-n-3-idrovora-vaso-cavaizze.html"</t>
  </si>
  <si>
    <t>="https://portaletrasparenza.consorziobacchiglione.it/dettagli/attodigara/294/manutenzione-e-riparazione-installazione-orologio-settimanale-per-dare-segnale-di-avviamento-e-arresto-per-prova-test-settimanale-g-e-idrovora-di-lova-maestro-bernio-s-margherita.html"</t>
  </si>
  <si>
    <t>="https://portaletrasparenza.consorziobacchiglione.it/dettagli/attodigara/282/servizio-di-redazione-paesaggistica-semplificata-al-fine-di-ottenere-parere-favorevole-alla-posa-della-recinzione-da-realizzarsi-sulla-sommita-arginale-del-fiume-brenta-2-stazione-di-sollevamento-processo-id-006-03.html"</t>
  </si>
  <si>
    <t>="https://portaletrasparenza.consorziobacchiglione.it/dettagli/attodigara/198/lavoro-di-raschiatura-e-pulitura-del-fondo-delle-canalette-irrigue-in-cls-con-asporto-del-materiale-fuori-dell-alveo-su-roggia-barene-roggia-groppon-roggia-manzere-roggia-cinquantacinque-roggia-di-lova-per-un-totale.html"</t>
  </si>
  <si>
    <t>="https://portaletrasparenza.consorziobacchiglione.it/dettagli/attodigara/143/acquisto-presso-l-agenzia-delle-entrate-ufficio-provinciale-di-venezia-territorio-dei-dati-cartografici-aggiornati-anno-2015-integrazione-foglio-26-e-43-del-comune-di-chioggia.html"</t>
  </si>
  <si>
    <t>="https://portaletrasparenza.consorziobacchiglione.it/dettagli/attodigara/128/id-025-15-lavori-di-somma-urgenza-per-il-ripristino-della-copertura-e-della-riparazione-dello-sgrigliatore-dell-impianto-idrovoro-del-bernio-sito-in-localita-piovini-di-valli-di-chioggia-ve-gravemente-danneggiati-d.html"</t>
  </si>
  <si>
    <t>="https://portaletrasparenza.consorziobacchiglione.it/dettagli/attodigara/30/consulenza-informatico-organizzativa-finalizzata-al-supporto-allo-sviluppo-e-al-miglioramento-del-sistema-informativo-denominato-gdp-gestione-della-documentazione-di-processo-processo-id-002-16.html"</t>
  </si>
  <si>
    <t>="Martini Luciano s.r.l. | Girardello s.r.l. | Battiston Vittorino s.n.c. di Battiston Stefano e F.lli | CO.GE.SE. s.a.s. di Orlandini Eva e C.0 | GSA - Gestione Servizi Ambientali s.r.l. | CO.M.I.S.A. s.r.l. | Florovivaismo Tasso Massimo | Edil Costruzioni s.r.l. | Comin Costruzioni Generali s.r.l. | Grandi Opere s.r.l. | Impresa Scala Santo s.r.l. | CGC s.r.l. | Donà Scavi s.r.l. | Egi Zanotto s.r.l. | LF Costruzioni s.r.l. | Soc. Coop. Consorzio Contarinese Escavi e Trasporti | Sartorello Escavazioni s.r.l. | Marotta s.r.l. | Guidarelli Geom. Lanfranco | Chievo Costruzioni s.r.l."</t>
  </si>
  <si>
    <t>="https://portaletrasparenza.consorziobacchiglione.it/dettagli/attodigara/25/procedimento-davati-al-t-a-r-veneto-avverso-delibera-di-assemblea-consorziale-n-02-07-del-23-06-2016-adesione-coldiretti-affidamento-incarico-rappresentanza-e-difesa-legale-del-consorzio-all-avv-federico-pagetta.html"</t>
  </si>
  <si>
    <t>="https://portaletrasparenza.consorziobacchiglione.it/dettagli/attodigara/24/ricorso-davanti-alla-ctp-di-padova-proposto-dalla-soc-sporting-center-s-r-l-affidamento-incarico-di-rappresentanza-e-difesa-legale-del-consorzio-al-prof-avv-mauro-beghin-delibera-cda-n-15-11-del-15-11-2016.html"</t>
  </si>
  <si>
    <t>="https://portaletrasparenza.consorziobacchiglione.it/dettagli/attodigara/23/lavori-di-costruzione-dello-scolmatore-limenella-fossetta-lavori-di-completamento-intervento-n-11-lotto-b-lavori-di-fornitura-e-posa-in-opera-del-nuovo-sistema-di-telecontrollo-della-paratoia-morandi-via-timavo-pd.html"</t>
  </si>
  <si>
    <t>="https://portaletrasparenza.consorziobacchiglione.it/dettagli/attodigara/22/ricorso-avanti-il-tribunale-regonale-delle-acque-pubbliche-proposto-dal-sig-fadel-francesco-affidamento-incarico-di-difesa-legale-all-avv-luigino-maria-martellato-del-foro-di-venezia.html"</t>
  </si>
  <si>
    <t>="Capparotto s.r.l. | Costruzioni Ing. Carlo Broetto s.r.l. con Unico Socio | M.I.S.A. s.r.l. | Sincos s.r.l. | Plona Costruzioni s.r.l. | Verdimpianti s.r.l. società unipersonale | Adriacos s.r.l. | Battiston Vittorino s.n.c. di Battiston Stefano e F.lli | B.T.B. Elettroidraulica S.r.l. | C.E.V. Consorzio Edili Veneti Soc. Coop. | F.lli Bari s.r.l. | DOSSI GEOM. CLAUDIO DI DOSSI RICCARDO | Polese S.p.A. | Raggruppamento 1 [CIG: 5837191A63]"</t>
  </si>
  <si>
    <t>="https://portaletrasparenza.consorziobacchiglione.it/dettagli/attodigara/21/id-012-13-interventi-di-ammodernamento-del-sistema-di-telecomando-e-telecontrollo-opere-elettromeccaniche-impianto-di-sollevamento-di-saccolongo-con-scarico-in-bacchiglione-automazione-impianti-in-gestione-al-consorzio-i-lotto-nuovo-impi.html"</t>
  </si>
  <si>
    <t>="https://portaletrasparenza.consorziobacchiglione.it/dettagli/attodigara/19/fornitura-macchina-decespugliatrice-professionale-ilf-s1500-affidamento-alla-soc-energreen-s-r-l-con-procedura-negoziata-senza-previa-pubblicazione-bando-ex-art-63-comma-2-lett-b-nn-2-3-del-d-lgs-n-50-2016.html"</t>
  </si>
  <si>
    <t>="https://portaletrasparenza.consorziobacchiglione.it/dettagli/attodigara/17/procedura-di-mediazione-davanti-alla-camera-arbitrale-di-venezia-promossa-dal-sig-masenadore-gianpietro-conferimento-incarico-di-rappresentanza-e-difesa-legale-del-consozrio-all-avv-antonio-olivo-del-foro-di-venezia.html"</t>
  </si>
  <si>
    <t>="Costruzioni Ing. Carlo Broetto s.r.l. con Unico Socio | Martini Luciano s.r.l. | Canton Giovanni s.n.c. di Canton Lucio E C. | Bano Costruzioni Generali s.r.l. | F.lli Capuzzo s.r.l. | Impresa Pasqual Zemiro s.r.l. | Berti Diego s.r.l. | C.G.X. Costruzioni Generali Xodo s.r.l. | G.M.T. Gruppo Movimento Terra s.n.c. di Mantovan Franco E C. | Girardello s.r.l. | M.I.S.A. s.r.l. | Molon Graziano Impresa di Costruzioni Edili e Stradali s.r.l. | QUATTRO EMME S.N.C. DI MANCIN DOMENICO E C. | Tresoldi Costruzioni s.r.l. | LOCAPAL SRL"</t>
  </si>
  <si>
    <t>="https://portaletrasparenza.consorziobacchiglione.it/dettagli/attodigara/13/lavori-di-costruzione-dello-scolmatore-limenella-fossetta-lavori-di-completamento-intervento-n-11-lotto-a-lavori-di-fornitura-e-posa-in-opera-del-nuovo-sistema-di-telecontrollo-presso-la-2-stazione-di-sollevamento-di-via-querini-p.html"</t>
  </si>
  <si>
    <t>="Cassa di Risparmio del Veneto S.p.A. | Cassa Depositi e Prestiti S.p.A. | Banca Monte dei Paschi di Siena S.p.A. | Unicredit S.p.A. | Banco Popolare Società Cooperativa | Banca di Credito Cooperativa di Piove di Sacco - Società Cooperativa | Banca Popolare Etica Società Cooperativa per azioni | Banca Popolare di Milano Soc. Coop. a r.l. | Banca Popolare di Sondrio - Società Cooperativa per azioni"</t>
  </si>
  <si>
    <t>="https://portaletrasparenza.consorziobacchiglione.it/dettagli/attodigara/7/assunzione-di-un-mutuo-per-la-realizzazione-dei-lavori-di-interesse-regionale-di-costruzione-dello-scolmatore-di-piena-limenella-fossetta-per-la-difesa-della-zona-nord-di-padova-anno-2016.html"</t>
  </si>
  <si>
    <t>="https://portaletrasparenza.consorziobacchiglione.it/dettagli/attodigara/4/lavori-di-somma-urgenza-per-la-sostituzione-della-elettropompa-sommergibile-n-6-dell-impianto-idrovoro-di-cambroso-di-codevigo-pd-gravemente-danneggiata-dagli-eventi-atmosferici-del-giorno-27-febbraio-2016-presa-d-atto-del-verbale-di-affida.html"</t>
  </si>
  <si>
    <t>="Caramori Piante s.r.l. | Costruzioni Frigo s.r.l. | Costruzioni Stradali Martini Silvestro s.r.l. | Martini Luciano s.r.l. | Martini Scavi di Martini Massimo s.r.l. | Canton Giovanni s.n.c. di Canton Lucio E C. | Bacco S.p.A. | Eco Euganea s.r.l. | Gollo Giovanni | Idronord s.r.l. | Temporin s.a.s. di Temporin Giancarlo E C. | Toniolo s.r.l. | Trovò s.r.l."</t>
  </si>
  <si>
    <t>="Caramori Piante s.r.l. | Capparotto s.r.l. | Costruzioni Frigo s.r.l. | Costruzioni Ing. Carlo Broetto s.r.l. con Unico Socio | Costruzioni Stradali Martini Silvestro s.r.l. | Martini Luciano s.r.l. | Martini Scavi di Martini Massimo s.r.l. | Canton Giovanni s.n.c. di Canton Lucio E C."</t>
  </si>
  <si>
    <t>="Baesso Sebastiano dei F.lli Baesso s.n.c. | Beggiato Sergio e Figlio s.n.c. | BRUNO FRANCO | CAPUZZO ROBERTINO | CHINUCCI LEGNAMI S.R.L. | Commercio Legnami Bertuola Rosario di Bertuola Gianni e C. s.n.c. | RINALDI COMBUSTIBILI S.N.C. di Rinaldi Marino E C. | ROMA ATTILIO PIETRO E FIGLI S.A.S. di Roma Massimo E C. | Silvestri Legnami s.r.l. | VALMORBIDA ELIO"</t>
  </si>
  <si>
    <t>="https://portaletrasparenza.consorziobacchiglione.it/dettagli/attodigara/7237/fornitura-e-posa-grigliato-di-protezione-completo-di-telaio-e-attacchi-a-paratoia-e-ulteriore-fornitura-di-lamiera-sagomata-zincata-per-protezione-e-copertura-degli-organi-di-manovra-presso-by-pass-scolo-boracchia.html"</t>
  </si>
  <si>
    <t>="https://portaletrasparenza.consorziobacchiglione.it/dettagli/attodigara/7222/id-018-12-interventi-strutturali-in-rete-minore-di-bonifica-ricalibratura-di-reti-di-bonifica-gestione-di-invasi-e-recapito-finale-nel-bacino-noventana-2-stralcio-lavori-in-diretta-amministrazione-affidamento-ru.html"</t>
  </si>
  <si>
    <t>="https://portaletrasparenza.consorziobacchiglione.it/dettagli/attodigara/7218/servizio-assistenza-e-manutenzione-anno-2021-per-strumento-di-rilevazione-topografica-gps-manutenzione-hardware-aggiornamento-software-supporto-telefonico-clienti-piattaforma-online-learning.html"</t>
  </si>
  <si>
    <t>="https://portaletrasparenza.consorziobacchiglione.it/dettagli/attodigara/7213/fornitura-ed-installazione-di-una-griglia-fermarosta-a-monte-della-tombinatura-di-via-magenta-in-comune-di-ponte-s-nicolo-sistemazione-montaggio-cancelli-e-fornitura-staffe-per-sensori-in-acciaio-inox-presso-impianto-ir.html"</t>
  </si>
  <si>
    <t>="https://portaletrasparenza.consorziobacchiglione.it/dettagli/attodigara/7197/fornitura-di-nuova-chiavica-in-cls-per-la-sistemazione-della-paratoia-di-scarico-su-scolo-cavaizza-di-codevigo-nord-a-seguito-del-cedimento-della-sponda-e-del-manufatto-esistente.html"</t>
  </si>
  <si>
    <t>="https://portaletrasparenza.consorziobacchiglione.it/dettagli/attodigara/6507/servizio-di-raccolta-trasporto-e-smaltimento-del-materiale-vegetale-prodotto-dagli-sgrigliatori-posti-in-ingresso-agli-impianti-idrovori-consortili-per-la-durata-di-un-anno-con-riserva-di-opzione-unilaterale-per-un-ulteriore-annualita.html"</t>
  </si>
  <si>
    <t>="https://portaletrasparenza.consorziobacchiglione.it/dettagli/attodigara/7179/oggetto-approvazione-procedura-affidamento-diretto-di-servizi-servizio-di-stampa-imbustamento-e-consegna-al-recapitatore-dei-solleciti-di-pagamento-dei-contributi-consortili-anno-2021.html"</t>
  </si>
  <si>
    <t>="https://portaletrasparenza.consorziobacchiglione.it/dettagli/attodigara/7167/implementazione-telecontrollo-per-sostegno-delle-basse-sostegno-piccolo-sostegno-ricicleria-governo-sostegno-scarico-in-brentella-e-nuovo-sostegno-su-bypass-ponte-san-nicolo-oltre-eventuale-assistenza-tecnica.html"</t>
  </si>
  <si>
    <t>="https://portaletrasparenza.consorziobacchiglione.it/dettagli/attodigara/7117/id-018-15-lavori-di-completamento-dell-impianto-idrovoro-altipiano-con-scarico-nel-fiume-brenta-in-comune-di-codevigo-costi-di-istruttoria-per-richiesta-preventivo-spostamento-palo-e-distribuzione-in-via-delle-muneg.html"</t>
  </si>
  <si>
    <t>="https://portaletrasparenza.consorziobacchiglione.it/dettagli/attodigara/7123/servizio-di-carico-trasporto-e-conferimento-ad-impianto-autorizzato-del-materiale-di-risulta-derivante-dal-cantiere-per-l-automazione-del-sostegno-governo-ricicleria-in-comune-di-limena.html"</t>
  </si>
  <si>
    <t>="https://portaletrasparenza.consorziobacchiglione.it/dettagli/attodigara/6500/interventi-strutturali-in-rete-minore-di-bonifica-ricalibratura-di-reti-di-bonifica-gestione-di-invasi-e-recapito-finale-nel-bacino-noventana-2-stralcio-somme-a-disposizione-dell-amministrazione-adeguamento-ed-automazione-impianto-idrovo.html"</t>
  </si>
  <si>
    <t>="https://portaletrasparenza.consorziobacchiglione.it/dettagli/attodigara/7080/affidamento-incarico-di-coordinatore-per-la-sicurezza-in-fase-esecutiva-ed-adeguamento-compenso-csp-relativamente-alla-realizzazione-del-nuovo-ponte-di-via-idrovora-in-localita-s-margherita-di-codevigo-pd-processo-i.html"</t>
  </si>
  <si>
    <t>="https://portaletrasparenza.consorziobacchiglione.it/dettagli/attodigara/7081/fornitura-stabilizzato-per-creazione-dosso-a-seguito-della-posa-delle-pompe-di-emergenza-in-dotazione-al-consorzio-su-impianto-irriguo-2-bacino-per-rottura-di-una-pompa-all-interno-dell-impianto-stesso.html"</t>
  </si>
  <si>
    <t>="https://portaletrasparenza.consorziobacchiglione.it/dettagli/attodigara/7075/aggiornamento-incarico-per-progettazione-definitiva-esecutiva-ed-assistenza-alla-direzione-lavori-realtivamente-al-nuovo-ponte-di-via-idrovora-in-localita-s-margherita-di-codevigo-pd-processo-id-018-20.html"</t>
  </si>
  <si>
    <t>="https://portaletrasparenza.consorziobacchiglione.it/dettagli/attodigara/7049/realizzazione-di-video-documentario-sui-lavori-di-ripristino-e-ristrutturazione-interna-delle-canne-delle-botti-a-sifone-di-conche-di-codevigo-e-di-corte-di-piove-di-sacco-processo-id-004-21.html"</t>
  </si>
  <si>
    <t>="https://portaletrasparenza.consorziobacchiglione.it/dettagli/attodigara/7027/fornitura-di-passarelle-scale-e-parapetti-da-posizionarsi-sui-sostegni-biancolino-burattin-magagna-nuovo-breo-cecconello-laghetto-roberta-masiero-oltre-alla-realizzazione-di-n-5-sbarre.html"</t>
  </si>
  <si>
    <t>="https://portaletrasparenza.consorziobacchiglione.it/dettagli/attodigara/7017/rilievo-topografico-perizia-di-stima-economica-valore-mercato-beni-immobili-oggetto-d-esproprio-assistenza-tecnica-alla-gestione-della-procedura-espropriativa-processo-id-021-21.html"</t>
  </si>
  <si>
    <t>="https://portaletrasparenza.consorziobacchiglione.it/dettagli/attodigara/7012/id-018-15-completamento-impianto-altipiano-fornitura-e-consegna-presso-l-impianto-idrovoro-di-n-2-cassoni-a-tenuta-stagna-del-volume-utile-di-20mc-per-la-raccolta-del-materiale-galleggiante-recuperato-dallo-sgrigliat.html"</t>
  </si>
  <si>
    <t>="https://portaletrasparenza.consorziobacchiglione.it/dettagli/attodigara/4013/id020-17-lotto-1-servizi-di-bonifica-bellica-sistematica-terrestre-bst-preventiva-da-ordigni-esplosivi-residuati-bellici-dell-area-umida-di-dolo-intervento-18-nella-parte-a-est-del-vecchio-sedime-della-s-p-n-19-dolo-camponogara-via-arzerin.html"</t>
  </si>
  <si>
    <t>="https://portaletrasparenza.consorziobacchiglione.it/dettagli/attodigara/7011/id-018-12-noventana-2-fornitura-e-consegna-presso-l-impianto-idrovoro-di-n-2-cassoni-a-tenuta-stagna-del-volume-utile-di-17mc-per-la-raccolta-del-materiale-galleggiante-recuperato-dallo-sgrigliatore-processo-id-018.html"</t>
  </si>
  <si>
    <t>="https://portaletrasparenza.consorziobacchiglione.it/dettagli/attodigara/6995/id-018-15-lavori-di-completamento-dell-impianto-idrovoro-altipiano-con-scarico-nel-fiume-brenta-in-comune-di-codevigo-fornitura-e-posa-nuovo-sistema-di-allarme-per-l-impianto-idrovoro-altipiano-processo-id-018-15.html"</t>
  </si>
  <si>
    <t>="https://portaletrasparenza.consorziobacchiglione.it/dettagli/attodigara/6993/id-004-07-bernio-lotto-a-fornitura-e-consegna-presso-l-impianto-idrovoro-di-n-2-cassoni-a-tenuta-stagna-del-volume-utile-di-17mc-per-la-raccolta-del-materiale-galleggiante-recuperato-dallo-sgrigliatore-processo-id.html"</t>
  </si>
  <si>
    <t>="https://portaletrasparenza.consorziobacchiglione.it/dettagli/attodigara/6985/oggetto-id-018-15-lavori-di-completamento-dell-impianto-idrovoro-altipiano-con-scarico-nel-fiume-brenta-in-comune-di-codevigo-service-tecnico-vrb-valutazione-rischio-bellico-ai-sensi-del-t-s-u-81-2008-e-smi-leg.html"</t>
  </si>
  <si>
    <t>="https://portaletrasparenza.consorziobacchiglione.it/dettagli/attodigara/6488/fornitura-di-n-1-escavatore-cingolato-nuovo-di-fabbrica-con-braccio-triplice-del-peso-operativo-compreso-tra-223-q-li-250-q-li-e-completo-di-tutti-gli-accessori-benne-e-impianto-idraulico-supplementare-con-contestuale-permuta-di-n-1-esca.html"</t>
  </si>
  <si>
    <t>="https://portaletrasparenza.consorziobacchiglione.it/dettagli/attodigara/6494/servizio-assicurativo-per-la-copertura-del-rischio-responsabilita-civile-generale-rct-rco-per-la-durata-di-18-mesi-dalle-ore-24-00-del-30-06-2021-alle-ore-24-00-del-31-12-2022-alla-soc-generali-italia-s-p-a.html"</t>
  </si>
  <si>
    <t>="https://portaletrasparenza.consorziobacchiglione.it/dettagli/attodigara/6497/interventi-strutturali-in-rete-minore-di-bonifica-ricalibratura-di-reti-di-bonifica-gestione-di-invasi-e-recapito-finale-nel-bacino-noventana-2-stralcio-somme-a-disposizione-dell-amministrazione-installazione-sistema-tlc-presso-impianto.html"</t>
  </si>
  <si>
    <t>="https://portaletrasparenza.consorziobacchiglione.it/dettagli/attodigara/6897/incarico-di-autenticazione-degli-estratti-dai-giornali-di-cassa-del-tesoriere-consorziale-anni-2010-2011-ai-fini-probatori-nella-vertenza-in-atto-con-enel-energia-spa-avente-ad-oggetto-la-restituzione-delle-somme-indebit.html"</t>
  </si>
  <si>
    <t>="https://portaletrasparenza.consorziobacchiglione.it/dettagli/attodigara/6888/verifiche-semestrale-dell-impianto-di-protezione-catodica-per-il-tratto-di-tubazione-in-acciaio-dn-800-e-tratto-di-tubazione-dn-1200-con-anodi-in-magnesio-con-dv-a-corrente-impressa-presso-canale-leb-sito-a-saccolongo.html"</t>
  </si>
  <si>
    <t>="https://portaletrasparenza.consorziobacchiglione.it/dettagli/attodigara/6879/fornitura-di-nuovo-manufatto-idraulico-prefabbricato-in-cls-per-sistemazione-della-paratoia-di-scarico-su-scolo-cavaizza-di-codevigo-sud-fronte-l-imp-idrovoro-cambroso-a-seguito-del-cedimento-della-sponda-e-del-manufa.html"</t>
  </si>
  <si>
    <t>="https://portaletrasparenza.consorziobacchiglione.it/dettagli/attodigara/3702/servizio-di-stampa-imbustamento-e-consegna-al-recapitatore-degli-avvisi-di-pagamento-pagopa-anno-2020-con-opzione-unilaterale-di-assegnare-il-servizio-per-una-ulteriore-annualita-esercizio-dell-opzione-anno-2021.html"</t>
  </si>
  <si>
    <t>="https://portaletrasparenza.consorziobacchiglione.it/dettagli/attodigara/6844/offerta-per-lavori-di-pulizia-carico-rifiuti-provenienti-dagli-impianti-di-padova-olmo-legnaro-villatora-vigonovo-e-galta-di-vigonovo-con-successivo-trasporto-per-conferimento-ad-impianto-di-destino.html"</t>
  </si>
  <si>
    <t>="https://portaletrasparenza.consorziobacchiglione.it/dettagli/attodigara/6808/contratto-triennale-di-manutenzione-preventiva-e-predittiva-diagnosi-su-inverter-marchiati-schneider-servizio-di-reperibilita-telefonica-linea-diretta-24-7-e-di-intervento-in-emergenza-on-site-sugli-impianti-del-re.html"</t>
  </si>
  <si>
    <t>="https://portaletrasparenza.consorziobacchiglione.it/dettagli/attodigara/6807/contratto-triennale-di-manutenzione-preventiva-e-predittiva-diagnosi-su-inverter-marchiati-schneider-servizio-di-reperibilita-telefonica-linea-diretta-24-7-e-di-intervento-in-emergenza-on-site-contratto-triennale-d.html"</t>
  </si>
  <si>
    <t>="https://portaletrasparenza.consorziobacchiglione.it/dettagli/attodigara/6775/aumento-a-kw-17-00-della-potenza-disponibile-per-le-forniture-di-energia-elettrica-di-cui-ai-codici-pod-it001e30057805-it001e30098687-it001e30478982-it001e31107079-it001e31716859-it001e31853166-it001e32255489-it0.html"</t>
  </si>
  <si>
    <t>="Viale Valter | Azienda Agricola Vivai Tollio Manuel | Azienda Florovivaistica F.lli Cestari s.n.c. | Bettini E Viale s.r.l. | Brunato Guido E Figli s.r.l. | Canella Michele s.r.l. | Cooperativa Sociale Giotto | Eco Green s.r.l. | G. Maritan s.r.l. | Green Soc. Cooperativa sociale | Land Art s.n.c. | My Pest Control s.r.l. | PL Service s.r.l. | Verdepiano di Alessandro Daniele"</t>
  </si>
  <si>
    <t>="https://portaletrasparenza.consorziobacchiglione.it/dettagli/attodigara/6697/interventi-di-ripristino-delle-sponde-franate-dello-scolo-fiumicello-e-di-ripristino-della-sezione-mediante-lo-scavo-dei-sedimenti-depositati-sul-fondo-lavoro-propedeutico-riguardanti-il-rilievo-planimetrico-degli-imp.html"</t>
  </si>
  <si>
    <t>="https://portaletrasparenza.consorziobacchiglione.it/dettagli/attodigara/6676/attivazione-nuove-funzionalita-del-centralino-aumento-contemporaneita-linea-fissa-da-12-a-20-migrazione-dei-numeri-delle-sedi-di-s-margherita-e-bovolenta-acquisto-cuffiette-per-ufficio-catasto-e-attivazione-numero-ve.html"</t>
  </si>
  <si>
    <t>="https://portaletrasparenza.consorziobacchiglione.it/dettagli/attodigara/6665/affidamento-servizio-di-manutenzione-e-assistenza-del-software-di-gestione-della-banca-dati-consortile-per-il-biennio-2021-2022-con-opzione-di-estensione-per-una-ulteriore-annualita.html"</t>
  </si>
  <si>
    <t>="https://portaletrasparenza.consorziobacchiglione.it/dettagli/attodigara/6489/bacino-sesta-presa-seconda-sezione-lavori-di-fornitura-e-posa-in-opera-di-materiale-inerte-presso-i-cantieri-di-lavoro-di-ripresa-spondale-condotti-nel-comprensorio-del-consorzio-di-bonifica-bacchiglione-28-000-quintali-con-opzione-unilate.html"</t>
  </si>
  <si>
    <t>="https://portaletrasparenza.consorziobacchiglione.it/dettagli/attodigara/6660/interventi-di-ripristino-delle-sponde-franate-dello-scolo-fiumicello-e-di-ripristino-della-sezione-mediante-lo-scavo-dei-sedimenti-depositati-sul-fondo-caratterizzazione-ambientale-sedimenti-scolo-fiumicello-lavoro-pr.html"</t>
  </si>
  <si>
    <t>="https://portaletrasparenza.consorziobacchiglione.it/dettagli/attodigara/6655/interventi-di-ripristino-delle-sponde-franate-dello-scolo-fiumicello-e-di-ripristino-della-sezione-mediante-lo-scavo-dei-sedimenti-depositati-sul-fondo-lavoro-propedeutico-alla-redazione-del-progetto.html"</t>
  </si>
  <si>
    <t>="https://portaletrasparenza.consorziobacchiglione.it/dettagli/attodigara/6486/bacini-settima-presa-delta-brenta-foci-brenta-adige-lavori-di-fornitura-e-posa-in-opera-di-materiale-inerte-presso-i-cantieri-di-lavoro-di-ripresa-spondale-condotti-nel-comprensorio-del-consorzio-di-bonifica-bacchiglione-28-000-quintali.html"</t>
  </si>
  <si>
    <t>="https://portaletrasparenza.consorziobacchiglione.it/dettagli/attodigara/6485/bacino-sesta-presa-prima-sezione-lavori-di-fornitura-e-posa-in-opera-di-materiale-inerte-presso-i-cantieri-di-lavoro-di-ripresa-spondale-condotti-nel-comprensorio-del-consorzio-di-bonifica-bacchiglione-28-000-quintali-con-opzione-unilaterale.html"</t>
  </si>
  <si>
    <t>="https://portaletrasparenza.consorziobacchiglione.it/dettagli/attodigara/6484/bacini-pratiarcati-e-due-carrare-lavori-di-fornitura-e-posa-in-opera-di-materiale-inerte-presso-i-cantieri-di-lavoro-di-ripresa-spondale-condotti-nel-comprensorio-del-consorzio-di-bonifica-bacchiglione-28-000-quintali-con-opzione-unilaterale.html"</t>
  </si>
  <si>
    <t>="https://portaletrasparenza.consorziobacchiglione.it/dettagli/attodigara/6483/bacini-colli-euganei-e-monta-portello-lavori-di-fornitura-e-posa-in-opera-di-materiale-inerte-presso-i-cantieri-di-lavoro-di-ripresa-spondale-condotti-nel-comprensorio-del-consorzio-di-bonifica-bacchiglione-28-000-quintali-con-opzione-unilat.html"</t>
  </si>
  <si>
    <t>="Autoteam S.r.l. Via Mantova, 16-A - 37045 Legnago (VR) | Autobase S.r.l. Via Dell'Artigianato 14-16 Albignasego 35020 (PD) | Orvicar Viale Maestri del Lavoro,1,35010 Mejaniga (PD) | AMT Via del Santo, 220,35010 Limena (PD) | BiEBI Auto Viale L.da Vinci, 7,35020 Vigorovea (PD) | AUTOBASE S.R.L."</t>
  </si>
  <si>
    <t>="https://portaletrasparenza.consorziobacchiglione.it/dettagli/attodigara/6602/sistemazione-sifonamento-presso-sostegno-bagatella-e-contestuale-realizzazione-del-manufatto-di-regolazione-su-tubazione-esistente-in-prossimita-dell-idrovora-assicurazioni-generali.html"</t>
  </si>
  <si>
    <t>="https://portaletrasparenza.consorziobacchiglione.it/dettagli/attodigara/6533/rifacimento-impermeabilizzazione-copertura-e-grondaie-ripristino-intonaci-esterni-e-tinteggiatura-esterna-dell-impianto-idrovoro-vallesella-piu-ripristino-intonaci-esterni-e-tinteggiatura-esterna-ed-interna-dell-impian.html"</t>
  </si>
  <si>
    <t>="https://portaletrasparenza.consorziobacchiglione.it/dettagli/attodigara/3123/oggetto-fornitura-di-n-1-midi-escavatore-cingolato-nuovo-di-fabbrica-con-braccio-triplice-del-peso-operativo-compreso-tra-85-q-li-a-95-q-li-e-completo-di-tutti-gli-accessori-benne-e-impianto-idraulico-supplementare-con-opzione-unilaterale-di-ac.html"</t>
  </si>
  <si>
    <t>="https://portaletrasparenza.consorziobacchiglione.it/dettagli/attodigara/6524/canone-annuale-contratto-di-manutenzione-silver-per-sistema-di-telecontrollo-come-da-descrizione-al-punto-1-incluse-fino-a-n-24-ore-di-attivita-di-supporto-e-diagnostica-remota.html"</t>
  </si>
  <si>
    <t>Scostamento</t>
  </si>
  <si>
    <t>8778742F0F: [49468.09€ ]</t>
  </si>
  <si>
    <t>8460768E9D: [92500.00€ ]</t>
  </si>
  <si>
    <t>ZBD1BF55BA: [39860.00€ ]</t>
  </si>
  <si>
    <t>8944261DA9: [347532.00€ ]</t>
  </si>
  <si>
    <t>86006790D7: [148742.64€ ]</t>
  </si>
  <si>
    <t>8622642D44: [147027.18€ ]</t>
  </si>
  <si>
    <t>ZAE2BE3CB4: [2459.02€ ]</t>
  </si>
  <si>
    <t>8773448E50: [70000.00€ ]</t>
  </si>
  <si>
    <t>ZE72E7B3EA: [409.84€ ]</t>
  </si>
  <si>
    <t>ZDE2F5038F: [1500.00€ ]</t>
  </si>
  <si>
    <t>89596633CE: [56160.00€ ]</t>
  </si>
  <si>
    <t>8577367B28: [46569.62€ ]</t>
  </si>
  <si>
    <t>8986060B4A: [65056.49€ ]</t>
  </si>
  <si>
    <t>8826454C40: [49831.25€ ]</t>
  </si>
  <si>
    <t>8600763627: [147351.12€ ]</t>
  </si>
  <si>
    <t>ZE2325FAF3: [8613.85€ ]</t>
  </si>
  <si>
    <t>Z471C50450: [35760.00€ ]</t>
  </si>
  <si>
    <t>Z51306ED72: [31100.00€ ]</t>
  </si>
  <si>
    <t>Z7431A32CB: [30000.00€ ]</t>
  </si>
  <si>
    <t>Z8E31FB2E4: [29630.00€ ]</t>
  </si>
  <si>
    <t>86007191D9: [147351.12€ ]</t>
  </si>
  <si>
    <t>ZEA340E0FA: [22955.00€ ]</t>
  </si>
  <si>
    <t>ZD23136262: [37789.58€ ]</t>
  </si>
  <si>
    <t>Z73312BE88: [19145.00€ ]</t>
  </si>
  <si>
    <t>Z4B329960D: [18990.00€ ]</t>
  </si>
  <si>
    <t>ZBD32F00C4: [18100.00€ ]</t>
  </si>
  <si>
    <t>Z5F33C0975: [19672.13€ ]</t>
  </si>
  <si>
    <t>Z8D1886F7F: [15883.00€ ]</t>
  </si>
  <si>
    <t>Z84184AC36: [14900.00€ ]</t>
  </si>
  <si>
    <t>Z153136077: [14823.71€ ]</t>
  </si>
  <si>
    <t>ZC333C0218: [38181.82€ ]</t>
  </si>
  <si>
    <t>Z512D03773: [200.00€ ]</t>
  </si>
  <si>
    <t>ZD432249ED: [12594.44€ ]</t>
  </si>
  <si>
    <t>Z3832190BB: [11896.00€ ]</t>
  </si>
  <si>
    <t>Z50329E1EA: [11500.00€ ]</t>
  </si>
  <si>
    <t>Z083397B91: [11632.70€ ]</t>
  </si>
  <si>
    <t>ZCA31FB16A: [38600.00€ ]</t>
  </si>
  <si>
    <t>Z1131D700F: [1559.52€ ]</t>
  </si>
  <si>
    <t>ZF73333F12: [11166.19€ ]</t>
  </si>
  <si>
    <t>Z8C1981C49: [12268.00€ ]</t>
  </si>
  <si>
    <t>Z43185774C: [10000.00€ ]</t>
  </si>
  <si>
    <t>ZCA32C0781: [10932.33€ ]</t>
  </si>
  <si>
    <t>Z6432869E7: [9830.00€ ]</t>
  </si>
  <si>
    <t>Z0B33E2987: [9500.00€ ]</t>
  </si>
  <si>
    <t>ZB83282075: [9400.00€ ]</t>
  </si>
  <si>
    <t>ZDB31B6407: [8925.00€ ]</t>
  </si>
  <si>
    <t>ZB6340FE1A: [23750.00€ ]</t>
  </si>
  <si>
    <t>Z8B1858F9B: [6363.64€ ]</t>
  </si>
  <si>
    <t>ZC83048182: [10000.00€ ]</t>
  </si>
  <si>
    <t>860070671D: [148742.64€ ]</t>
  </si>
  <si>
    <t>8842570F97: [27542.10€ ]</t>
  </si>
  <si>
    <t>Z971858EEB: [5909.09€ ]</t>
  </si>
  <si>
    <t>Z4832F30A6: [6200.00€ ]</t>
  </si>
  <si>
    <t>Z5B32EDC8C: [6160.00€ ]</t>
  </si>
  <si>
    <t>Z2232CA142: [10743.20€ ]</t>
  </si>
  <si>
    <t>Z9B324180D: [5950.00€ ]</t>
  </si>
  <si>
    <t>Z92329BAD6: [5626.00€ ]</t>
  </si>
  <si>
    <t>Z54334EEAA: [5498.73€ ]</t>
  </si>
  <si>
    <t>ZBE348171B: [5300.00€ ]</t>
  </si>
  <si>
    <t>Z6E342B398: [5300.00€ ]</t>
  </si>
  <si>
    <t>Z03343A55D: [4918.03€ ]</t>
  </si>
  <si>
    <t>ZC4343C8B7: [5200.00€ ]</t>
  </si>
  <si>
    <t>ZF6330CD43: [5060.93€ ]</t>
  </si>
  <si>
    <t>Z1B32F8982: [4918.03€ ]</t>
  </si>
  <si>
    <t>Z8C338064A: [4850.12€ ]</t>
  </si>
  <si>
    <t>ZC3334CED0: [6764.00€ ]</t>
  </si>
  <si>
    <t>Z52345EC77: [4500.00€ ]</t>
  </si>
  <si>
    <t>ZC22FD5183: [1470.00€ ]</t>
  </si>
  <si>
    <t>Z7932A87E1: [4200.00€ ]</t>
  </si>
  <si>
    <t>Z12335390A: [4107.00€ ]</t>
  </si>
  <si>
    <t>ZEC342B242: [3900.00€ ]</t>
  </si>
  <si>
    <t>ZB63429309: [3770.00€ ]</t>
  </si>
  <si>
    <t>Z443405A08: [3747.10€ ]</t>
  </si>
  <si>
    <t>Z842D20F13: [6.83€ ]</t>
  </si>
  <si>
    <t>Z8A336C523: [3360.68€ ]</t>
  </si>
  <si>
    <t>Z0B1B73151: [3258.22€ ]</t>
  </si>
  <si>
    <t>Z5733E8D6E: [3156.00€ ]</t>
  </si>
  <si>
    <t>Z9A33AB573: [3796.60€ ]</t>
  </si>
  <si>
    <t>ZCD33F7831: [3016.00€ ]</t>
  </si>
  <si>
    <t>Z3F318DFF9: [10980.00€ ]</t>
  </si>
  <si>
    <t>ZD432D2A75: [2890.00€ ]</t>
  </si>
  <si>
    <t>ZA03209940: [10576.23€ ]</t>
  </si>
  <si>
    <t>Z5C33108BE: [2794.00€ ]</t>
  </si>
  <si>
    <t>Z5F334AA0E: [2382.19€ ]</t>
  </si>
  <si>
    <t>Z91333353A: [2300.00€ ]</t>
  </si>
  <si>
    <t>Z83306C404: [4500.00€ ]</t>
  </si>
  <si>
    <t>Z4B1912DC4: [4434.23€ ]</t>
  </si>
  <si>
    <t>Z023169EB4: [2184.00€ ]</t>
  </si>
  <si>
    <t>Z49331B41B: [2148.07€ ]</t>
  </si>
  <si>
    <t>Z401938BAC: [2058.10€ ]</t>
  </si>
  <si>
    <t>Z3F3335EDB: [2036.00€ ]</t>
  </si>
  <si>
    <t>Z7A33170EA: [1997.61€ ]</t>
  </si>
  <si>
    <t>Z703301AFA: [1926.90€ ]</t>
  </si>
  <si>
    <t>ZBB343C25E: [1850.00€ ]</t>
  </si>
  <si>
    <t>ZE4332E4A6: [1836.90€ ]</t>
  </si>
  <si>
    <t>ZE93316F75: [1795.00€ ]</t>
  </si>
  <si>
    <t>Z8A3318EB8: [1766.35€ ]</t>
  </si>
  <si>
    <t>ZB03338528: [1732.51€ ]</t>
  </si>
  <si>
    <t>ZAA3110184: [22350.00€ ]</t>
  </si>
  <si>
    <t>Z94334C02F: [1690.00€ ]</t>
  </si>
  <si>
    <t>ZC73310635: [1671.60€ ]</t>
  </si>
  <si>
    <t>Z693431C23: [1605.00€ ]</t>
  </si>
  <si>
    <t>Z9B3146326: [10000.00€ ]</t>
  </si>
  <si>
    <t>Z7B341EC24: [1929.60€ ]</t>
  </si>
  <si>
    <t>Z8732FE26D: [3444.00€ ]</t>
  </si>
  <si>
    <t>ZDB3301B62: [1470.00€ ]</t>
  </si>
  <si>
    <t>Z1933A0C5B: [5000.00€ ]</t>
  </si>
  <si>
    <t>ZCB33E6133: [1388.03€ ]</t>
  </si>
  <si>
    <t>ZD432BF4A1: [1367.17€ ]</t>
  </si>
  <si>
    <t>Z581CA6B6F: [5200.00€ ]</t>
  </si>
  <si>
    <t>Z05347D29D: [1197.65€ ]</t>
  </si>
  <si>
    <t>Z3F31504A4: [1447.84€ ]</t>
  </si>
  <si>
    <t>Z2133EF09C: [1046.89€ ]</t>
  </si>
  <si>
    <t>Z4B33172F4: [987.00€ ]</t>
  </si>
  <si>
    <t>Z673377408: [972.25€ ]</t>
  </si>
  <si>
    <t>ZEB33507AD: [996.77€ ]</t>
  </si>
  <si>
    <t>Z561856EB1: [5737.70€ ]</t>
  </si>
  <si>
    <t>Z673350474: [900.00€ ]</t>
  </si>
  <si>
    <t>ZB0334A46F: [900.00€ ]</t>
  </si>
  <si>
    <t>ZCD34051DB: [843.39€ ]</t>
  </si>
  <si>
    <t>ZAA32F82F3: [800.00€ ]</t>
  </si>
  <si>
    <t>Z4D33E0855: [1488.00€ ]</t>
  </si>
  <si>
    <t>Z2233AD3DB: [765.00€ ]</t>
  </si>
  <si>
    <t>Z7832F786A: [752.78€ ]</t>
  </si>
  <si>
    <t>Z6B3475331: [1818.34€ ]</t>
  </si>
  <si>
    <t>Z81338655F: [738.99€ ]</t>
  </si>
  <si>
    <t>Z8019F64D8: [720.00€ ]</t>
  </si>
  <si>
    <t>ZD1322B5F3: [689.00€ ]</t>
  </si>
  <si>
    <t>Z2E1858E12: [2272.73€ ]</t>
  </si>
  <si>
    <t>Z5F332B7FA: [651.25€ ]</t>
  </si>
  <si>
    <t>Z4C345F2B1: [628.72€ ]</t>
  </si>
  <si>
    <t>Z4F32F1DF2: [1684.64€ ]</t>
  </si>
  <si>
    <t>ZD333AE721: [2051.00€ ]</t>
  </si>
  <si>
    <t>ZD81984F2A: [8100.00€ ]</t>
  </si>
  <si>
    <t>ZAE32CF9FA: [6321.00€ ]</t>
  </si>
  <si>
    <t>Z2F306A588: [2050.00€ ]</t>
  </si>
  <si>
    <t>Z1033C262B: [525.00€ ]</t>
  </si>
  <si>
    <t>Z283263D7E: [516.39€ ]</t>
  </si>
  <si>
    <t>Z9232F1974: [510.00€ ]</t>
  </si>
  <si>
    <t>Z3432BE8E1: [510.00€ ]</t>
  </si>
  <si>
    <t>Z9232F2829: [500.00€ ]</t>
  </si>
  <si>
    <t>ZE632E2372: [500.00€ ]</t>
  </si>
  <si>
    <t>ZD3347D531: [480.00€ ]</t>
  </si>
  <si>
    <t>ZCF1A405F4: [2860.00€ ]</t>
  </si>
  <si>
    <t>Z7833255CE: [455.18€ ]</t>
  </si>
  <si>
    <t>ZB719BBF8E: [15500.00€ ]</t>
  </si>
  <si>
    <t>Z3E3296E45: [1639.34€ ]</t>
  </si>
  <si>
    <t>ZF6331ADCA: [440.00€ ]</t>
  </si>
  <si>
    <t>Z53347D30C: [434.75€ ]</t>
  </si>
  <si>
    <t>ZB5331F774: [413.10€ ]</t>
  </si>
  <si>
    <t>ZDB334ECD0: [405.80€ ]</t>
  </si>
  <si>
    <t>Z333300D7A: [402.90€ ]</t>
  </si>
  <si>
    <t>ZC31BAEFCE: [1818.18€ ]</t>
  </si>
  <si>
    <t>ZE732EF684: [380.00€ ]</t>
  </si>
  <si>
    <t>Z9E3443CF4: [379.80€ ]</t>
  </si>
  <si>
    <t>Z12322970F: [20000.00€ ]</t>
  </si>
  <si>
    <t>Z5D3380854: [351.08€ ]</t>
  </si>
  <si>
    <t>ZEC3314039: [350.00€ ]</t>
  </si>
  <si>
    <t>ZCB332E1D5: [9365.00€ ]</t>
  </si>
  <si>
    <t>Z101ADC1CF: [13852.46€ ]</t>
  </si>
  <si>
    <t>Z5333F5654: [338.23€ ]</t>
  </si>
  <si>
    <t>Z9132C09CA: [334.00€ ]</t>
  </si>
  <si>
    <t>ZF232BF9C6: [320.00€ ]</t>
  </si>
  <si>
    <t>Z371B9DBD1: [4700.00€ ]</t>
  </si>
  <si>
    <t>Z3732D2566: [317.94€ ]</t>
  </si>
  <si>
    <t>Z47347A6A2: [311.58€ ]</t>
  </si>
  <si>
    <t>Z053328E12: [298.00€ ]</t>
  </si>
  <si>
    <t>Z4D3347624: [912.50€ ]</t>
  </si>
  <si>
    <t>Z063487990: [271.02€ ]</t>
  </si>
  <si>
    <t>Z133444B74: [253.50€ ]</t>
  </si>
  <si>
    <t>ZF5335FE82: [250.00€ ]</t>
  </si>
  <si>
    <t>Z9A33395C7: [240.72€ ]</t>
  </si>
  <si>
    <t>ZBD344454F: [234.50€ ]</t>
  </si>
  <si>
    <t>Z873347BF8: [233.00€ ]</t>
  </si>
  <si>
    <t>ZD533248A2: [229.00€ ]</t>
  </si>
  <si>
    <t>Z0B1CB15DF: [952.00€ ]</t>
  </si>
  <si>
    <t>ZDC3474E5A: [210.00€ ]</t>
  </si>
  <si>
    <t>Z4C1938CF2: [1942.92€ ]</t>
  </si>
  <si>
    <t>Z54346C5B0: [191.70€ ]</t>
  </si>
  <si>
    <t>Z0E3399E85: [180.00€ ]</t>
  </si>
  <si>
    <t>Z5832F3FBF: [173.85€ ]</t>
  </si>
  <si>
    <t>ZB933901A7: [2125.00€ ]</t>
  </si>
  <si>
    <t>Z72333211B: [156.80€ ]</t>
  </si>
  <si>
    <t>Z423362586: [150.00€ ]</t>
  </si>
  <si>
    <t>Z6932C42A9: [150.00€ ]</t>
  </si>
  <si>
    <t>Z7D32F390D: [148.00€ ]</t>
  </si>
  <si>
    <t>Z873406926: [140.00€ ]</t>
  </si>
  <si>
    <t>Z26342AFE0: [136.50€ ]</t>
  </si>
  <si>
    <t>Z751BB67F8: [555.39€ ]</t>
  </si>
  <si>
    <t>Z0E32F801F: [131.21€ ]</t>
  </si>
  <si>
    <t>Z023019ECB: [35000.00€ ]</t>
  </si>
  <si>
    <t>ZAC32F73CD: [120.00€ ]</t>
  </si>
  <si>
    <t>Z6E34278C4: [240.00€ ]</t>
  </si>
  <si>
    <t>ZE334053DD: [107.75€ ]</t>
  </si>
  <si>
    <t>ZBA1C28A8D: [585.00€ ]</t>
  </si>
  <si>
    <t>Z293477172: [90.00€ ]</t>
  </si>
  <si>
    <t>ZDA344F5C4: [90.00€ ]</t>
  </si>
  <si>
    <t>Z093339AD1: [75.00€ ]</t>
  </si>
  <si>
    <t>ZED334B9C7: [70.00€ ]</t>
  </si>
  <si>
    <t>Z671C0D95D: [119.02€ ]</t>
  </si>
  <si>
    <t>Z983486CF3: [59.02€ ]</t>
  </si>
  <si>
    <t>Z7E1C18739: [161.52€ ]</t>
  </si>
  <si>
    <t>Z0930A34EE: [201.09€ ]</t>
  </si>
  <si>
    <t>Z0434494DE: [58.00€ ]</t>
  </si>
  <si>
    <t>Z1A340D022: [58.00€ ]</t>
  </si>
  <si>
    <t>Z9C19E4C22: [1159.61€ ]</t>
  </si>
  <si>
    <t>ZC9335C87D: [2868.85€ ]</t>
  </si>
  <si>
    <t>ZDA3134A11: [6557.38€ ]</t>
  </si>
  <si>
    <t>Z79317B6D6: [670.93€ ]</t>
  </si>
  <si>
    <t>Z553159DA4: [1104.39€ ]</t>
  </si>
  <si>
    <t>Z5B1AB56C2: [4734.18€ ]</t>
  </si>
  <si>
    <t>ZCC1B3A284: [1310.47€ ]</t>
  </si>
  <si>
    <t>Z741BB1848: [576.76€ ]</t>
  </si>
  <si>
    <t>Z2B1C5DA5A: [133.57€ ]</t>
  </si>
  <si>
    <t>Z0E341EF1E: [118.87€ ]</t>
  </si>
  <si>
    <t>Z0532D22B5: [118.87€ ]</t>
  </si>
  <si>
    <t>Z62332BBBA: [32.00€ ]</t>
  </si>
  <si>
    <t>Z0D31EBB5C: [550.89€ ]</t>
  </si>
  <si>
    <t>ZA71C36CD2: [59.51€ ]</t>
  </si>
  <si>
    <t>ZA71BE3667: [59.51€ ]</t>
  </si>
  <si>
    <t>Z733312388: [28.69€ ]</t>
  </si>
  <si>
    <t>Z673331842: [25.00€ ]</t>
  </si>
  <si>
    <t>Z07199237B: [1005.50€ ]</t>
  </si>
  <si>
    <t>ZF3343E803: [19.00€ ]</t>
  </si>
  <si>
    <t>ZEB346D7D6: [17.50€ ]</t>
  </si>
  <si>
    <t>ZB01BAA8FE: [630.84€ ]</t>
  </si>
  <si>
    <t>ZBA1BB1A7B: [3024.28€ ]</t>
  </si>
  <si>
    <t>Z6E1BD67D9: [413.25€ ]</t>
  </si>
  <si>
    <t>Z7E1842445: [17449.70€ ]</t>
  </si>
  <si>
    <t>Z1D1B5A71E: [77.66€ ]</t>
  </si>
  <si>
    <t>ZA63199E7E: [1194.65€ ]</t>
  </si>
  <si>
    <t>ZCF30B46E7: [760.00€ ]</t>
  </si>
  <si>
    <t>ZF930EF89C: [5477.95€ ]</t>
  </si>
  <si>
    <t>Z231B57BA2: [611.04€ ]</t>
  </si>
  <si>
    <t>ZC81AFA4C5: [197.76€ ]</t>
  </si>
  <si>
    <t>Z843119B03: [109.82€ ]</t>
  </si>
  <si>
    <t>Z9F1C4755A: [1520.47€ ]</t>
  </si>
  <si>
    <t>ZOC301F9EA: [255.00€ ]</t>
  </si>
  <si>
    <t>Z501C97DF7: [1094.10€ ]</t>
  </si>
  <si>
    <t>Z791B3EC3B: [39860.00€ ]</t>
  </si>
  <si>
    <t>ZA134216BD: [81.97€ ]</t>
  </si>
  <si>
    <t>Z8C1A9CF08: [2025.00€ ]</t>
  </si>
  <si>
    <t>65644481DC: [103118.64€ ]</t>
  </si>
  <si>
    <t>Z7233DD198: [6191.53€ ]</t>
  </si>
  <si>
    <t>ZAF1C478AF: [3129.93€ ]</t>
  </si>
  <si>
    <t>Z49185F27E: [4613.63€ ]</t>
  </si>
  <si>
    <t>ZC5336A404: [11401.23€ ]</t>
  </si>
  <si>
    <t>ZE31C0DD5F: [1232.13€ 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</si>
</sst>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V1913" totalsRowShown="0">
  <autoFilter ref="A1:V1913"/>
  <sortState xmlns:xlrd2="http://schemas.microsoft.com/office/spreadsheetml/2017/richdata2" ref="A2:V1913">
    <sortCondition ref="K1:K1913"/>
  </sortState>
  <tableColumns count="22">
    <tableColumn id="1" name="Tipo">
      <calculatedColumnFormula>"Affidamento"</calculatedColumnFormula>
    </tableColumn>
    <tableColumn id="2" name="Oggetto"/>
    <tableColumn id="3" name="CIG"/>
    <tableColumn id="4" name="Data pubblicazione">
      <calculatedColumnFormula>"05/01/2021"</calculatedColumnFormula>
    </tableColumn>
    <tableColumn id="5" name="Data aggiudicazione">
      <calculatedColumnFormula>""</calculatedColumnFormula>
    </tableColumn>
    <tableColumn id="6" name="Data di scadenza">
      <calculatedColumnFormula>""</calculatedColumnFormula>
    </tableColumn>
    <tableColumn id="7" name="Importo di aggiudicazione"/>
    <tableColumn id="8" name="Ragione sociale Stazione appaltante"/>
    <tableColumn id="9" name="Codice fiscale Stazione appaltante">
      <calculatedColumnFormula>"92223390284"</calculatedColumnFormula>
    </tableColumn>
    <tableColumn id="10" name="Procedura di scelta del contraente">
      <calculatedColumnFormula>"23-AFFIDAMENTO DIRETTO"</calculatedColumnFormula>
    </tableColumn>
    <tableColumn id="11" name="Data inizio lavori"/>
    <tableColumn id="12" name="Data fine lavori"/>
    <tableColumn id="13" name="Responsabile unico procedimento">
      <calculatedColumnFormula>""</calculatedColumnFormula>
    </tableColumn>
    <tableColumn id="14" name="Partecipanti/invitati a partecipare"/>
    <tableColumn id="15" name="Aggiudicatario"/>
    <tableColumn id="16" name="Dettaglio somme liquidate"/>
    <tableColumn id="17" name="URL committente">
      <calculatedColumnFormula>""</calculatedColumnFormula>
    </tableColumn>
    <tableColumn id="18" name="URL e-procurement">
      <calculatedColumnFormula>""</calculatedColumnFormula>
    </tableColumn>
    <tableColumn id="19" name="Note">
      <calculatedColumnFormula>""</calculatedColumnFormula>
    </tableColumn>
    <tableColumn id="20" name="Dettaglio"/>
    <tableColumn id="21" name="Allegati"/>
    <tableColumn id="22" name="Scostamento" dataDxfId="0">
      <calculatedColumnFormula>(SUBSTITUTE(Tabella1[[#This Row],[Importo di aggiudicazione]],".",","))-(SUBSTITUTE(  SUBSTITUTE(          SUBSTITUTE(Tabella1[[#This Row],[Dettaglio somme liquidate]],Tabella1[[#This Row],[CIG]]&amp;": [",""),"€ ]",""),".",","))</calculatedColumn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13"/>
  <sheetViews>
    <sheetView tabSelected="1" workbookViewId="0">
      <selection activeCell="E5" sqref="E5"/>
    </sheetView>
  </sheetViews>
  <sheetFormatPr defaultRowHeight="14.4" x14ac:dyDescent="0.3"/>
  <cols>
    <col min="2" max="2" width="9.44140625" customWidth="1"/>
    <col min="4" max="4" width="19.5546875" customWidth="1"/>
    <col min="5" max="5" width="20.44140625" customWidth="1"/>
    <col min="6" max="6" width="17.6640625" customWidth="1"/>
    <col min="7" max="7" width="25.33203125" customWidth="1"/>
    <col min="8" max="8" width="34" customWidth="1"/>
    <col min="9" max="9" width="32.6640625" customWidth="1"/>
    <col min="10" max="10" width="32.109375" customWidth="1"/>
    <col min="11" max="11" width="17.33203125" customWidth="1"/>
    <col min="12" max="12" width="15.88671875" customWidth="1"/>
    <col min="13" max="13" width="32.21875" customWidth="1"/>
    <col min="14" max="14" width="31.6640625" customWidth="1"/>
    <col min="15" max="15" width="15.44140625" customWidth="1"/>
    <col min="16" max="16" width="25.44140625" customWidth="1"/>
    <col min="17" max="17" width="17.33203125" customWidth="1"/>
    <col min="18" max="18" width="19.33203125" customWidth="1"/>
    <col min="20" max="20" width="10.5546875" customWidth="1"/>
    <col min="21" max="21" width="9.33203125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125</v>
      </c>
    </row>
    <row r="2" spans="1:22" x14ac:dyDescent="0.3">
      <c r="A2" t="str">
        <f>"Affidamento"</f>
        <v>Affidamento</v>
      </c>
      <c r="B2" t="str">
        <f>"FORNITURA 10 TUTE E GUANTI ANTITAGLIO PER PRESONALE PERIFERICO"</f>
        <v>FORNITURA 10 TUTE E GUANTI ANTITAGLIO PER PRESONALE PERIFERICO</v>
      </c>
      <c r="C2" t="str">
        <f>"ZCE2FF032C"</f>
        <v>ZCE2FF032C</v>
      </c>
      <c r="D2" t="str">
        <f>"05/01/2021"</f>
        <v>05/01/2021</v>
      </c>
      <c r="E2" t="str">
        <f>""</f>
        <v/>
      </c>
      <c r="F2" t="str">
        <f>""</f>
        <v/>
      </c>
      <c r="G2" t="str">
        <f>"2280.00"</f>
        <v>2280.00</v>
      </c>
      <c r="H2" t="str">
        <f>"CONSORZIO DI BONIFICA BACCHIGLIONE"</f>
        <v>CONSORZIO DI BONIFICA BACCHIGLIONE</v>
      </c>
      <c r="I2" t="str">
        <f>"92223390284"</f>
        <v>92223390284</v>
      </c>
      <c r="J2" t="str">
        <f>"23-AFFIDAMENTO DIRETTO"</f>
        <v>23-AFFIDAMENTO DIRETTO</v>
      </c>
      <c r="K2" t="str">
        <f>"01/01/2021"</f>
        <v>01/01/2021</v>
      </c>
      <c r="L2" t="str">
        <f>"20/01/2021"</f>
        <v>20/01/2021</v>
      </c>
      <c r="M2" t="str">
        <f>""</f>
        <v/>
      </c>
      <c r="N2" t="str">
        <f>"Chinello antinfortunistica via Padana 34 Z.I. Vigorovea di S.Angelo di Piove di Sacco PD | CHINELLO ANTINFORTUNISTICA"</f>
        <v>Chinello antinfortunistica via Padana 34 Z.I. Vigorovea di S.Angelo di Piove di Sacco PD | CHINELLO ANTINFORTUNISTICA</v>
      </c>
      <c r="O2" t="str">
        <f>"CHINELLO ANTINFORTUNISTICA"</f>
        <v>CHINELLO ANTINFORTUNISTICA</v>
      </c>
      <c r="P2" t="str">
        <f>"ZCE2FF032C: [2280.00€ ]"</f>
        <v>ZCE2FF032C: [2280.00€ ]</v>
      </c>
      <c r="Q2" t="str">
        <f>""</f>
        <v/>
      </c>
      <c r="R2" t="str">
        <f>""</f>
        <v/>
      </c>
      <c r="S2" t="str">
        <f>""</f>
        <v/>
      </c>
      <c r="T2" t="str">
        <f>"https://portaletrasparenza.consorziobacchiglione.it/dettagli/attodigara/4093/fornitura-10-tute-e-guanti-antitaglio-per-presonale-periferico.html"</f>
        <v>https://portaletrasparenza.consorziobacchiglione.it/dettagli/attodigara/4093/fornitura-10-tute-e-guanti-antitaglio-per-presonale-periferico.html</v>
      </c>
      <c r="U2" t="str">
        <f>"https://portaletrasparenza.consorziobacchiglione.it/download/attodigara/4093/62a20945d7759.PDF"</f>
        <v>https://portaletrasparenza.consorziobacchiglione.it/download/attodigara/4093/62a20945d7759.PDF</v>
      </c>
      <c r="V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" spans="1:22" x14ac:dyDescent="0.3">
      <c r="A3" t="str">
        <f>"Affidamento"</f>
        <v>Affidamento</v>
      </c>
      <c r="B3" t="str">
        <f>"Fornitura di un trasformatore MT-BT da 630 KVA per Idrovora di Lova"</f>
        <v>Fornitura di un trasformatore MT-BT da 630 KVA per Idrovora di Lova</v>
      </c>
      <c r="C3" t="str">
        <f>"Z84184AC36"</f>
        <v>Z84184AC36</v>
      </c>
      <c r="D3" t="str">
        <f>"04/11/2021"</f>
        <v>04/11/2021</v>
      </c>
      <c r="E3" t="str">
        <f>""</f>
        <v/>
      </c>
      <c r="F3" t="str">
        <f>""</f>
        <v/>
      </c>
      <c r="G3" t="str">
        <f>"14900.00"</f>
        <v>14900.00</v>
      </c>
      <c r="H3" t="str">
        <f>"Consorzio di bonifica Bacchiglione"</f>
        <v>Consorzio di bonifica Bacchiglione</v>
      </c>
      <c r="I3" t="str">
        <f>"92223390284"</f>
        <v>92223390284</v>
      </c>
      <c r="J3" t="str">
        <f>"23-AFFIDAMENTO DIRETTO"</f>
        <v>23-AFFIDAMENTO DIRETTO</v>
      </c>
      <c r="K3" t="str">
        <f>"01/02/2021"</f>
        <v>01/02/2021</v>
      </c>
      <c r="L3" t="str">
        <f>"06/09/2021"</f>
        <v>06/09/2021</v>
      </c>
      <c r="M3" t="str">
        <f>""</f>
        <v/>
      </c>
      <c r="N3" t="str">
        <f>"SCHNEIDER ELECTRIC S.P.A. Via Circonvallazione Est, 1 - 24040 Stezzano (BG)"</f>
        <v>SCHNEIDER ELECTRIC S.P.A. Via Circonvallazione Est, 1 - 24040 Stezzano (BG)</v>
      </c>
      <c r="O3" t="str">
        <f>"SCHNEIDER ELECTRIC S.P.A. Via Circonvallazione Est, 1 - 24040 Stezzano (BG)"</f>
        <v>SCHNEIDER ELECTRIC S.P.A. Via Circonvallazione Est, 1 - 24040 Stezzano (BG)</v>
      </c>
      <c r="P3" t="s">
        <v>154</v>
      </c>
      <c r="Q3" t="str">
        <f>""</f>
        <v/>
      </c>
      <c r="R3" t="str">
        <f>""</f>
        <v/>
      </c>
      <c r="S3" t="str">
        <f>""</f>
        <v/>
      </c>
      <c r="T3" t="str">
        <f>"https://portaletrasparenza.consorziobacchiglione.it/dettagli/attodigara/112/fornitura-di-un-trasformatore-mt-bt-da-630-kva-per-idrovora-di-lova.html"</f>
        <v>https://portaletrasparenza.consorziobacchiglione.it/dettagli/attodigara/112/fornitura-di-un-trasformatore-mt-bt-da-630-kva-per-idrovora-di-lova.html</v>
      </c>
      <c r="U3" t="str">
        <f>""</f>
        <v/>
      </c>
      <c r="V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" spans="1:22" x14ac:dyDescent="0.3">
      <c r="A4" t="str">
        <f>"Affidamento"</f>
        <v>Affidamento</v>
      </c>
      <c r="B4" t="str">
        <f>"Noleggio autocarrata 20 MT per lavori presso C.O.Margherita"</f>
        <v>Noleggio autocarrata 20 MT per lavori presso C.O.Margherita</v>
      </c>
      <c r="C4" t="str">
        <f>"Z7B3070E56"</f>
        <v>Z7B3070E56</v>
      </c>
      <c r="D4" t="str">
        <f>"02/02/2021"</f>
        <v>02/02/2021</v>
      </c>
      <c r="E4" t="str">
        <f>""</f>
        <v/>
      </c>
      <c r="F4" t="str">
        <f>""</f>
        <v/>
      </c>
      <c r="G4" t="str">
        <f>"320.00"</f>
        <v>320.00</v>
      </c>
      <c r="H4" t="str">
        <f>"Consorzio di bonifica Bacchiglione"</f>
        <v>Consorzio di bonifica Bacchiglione</v>
      </c>
      <c r="I4" t="str">
        <f>"92223390284"</f>
        <v>92223390284</v>
      </c>
      <c r="J4" t="str">
        <f>"23-AFFIDAMENTO DIRETTO"</f>
        <v>23-AFFIDAMENTO DIRETTO</v>
      </c>
      <c r="K4" t="str">
        <f>"01/02/2021"</f>
        <v>01/02/2021</v>
      </c>
      <c r="L4" t="str">
        <f>"10/02/2021"</f>
        <v>10/02/2021</v>
      </c>
      <c r="M4" t="str">
        <f>""</f>
        <v/>
      </c>
      <c r="N4" t="str">
        <f>"Nolo Piovese s.r.l. Via Padana 34 35020 S. Angelo di Piove PD"</f>
        <v>Nolo Piovese s.r.l. Via Padana 34 35020 S. Angelo di Piove PD</v>
      </c>
      <c r="O4" t="str">
        <f>"Nolo Piovese s.r.l. Via Padana 34 35020 S. Angelo di Piove PD"</f>
        <v>Nolo Piovese s.r.l. Via Padana 34 35020 S. Angelo di Piove PD</v>
      </c>
      <c r="P4" t="str">
        <f>"Z7B3070E56: [320.00€ ]"</f>
        <v>Z7B3070E56: [320.00€ ]</v>
      </c>
      <c r="Q4" t="str">
        <f>""</f>
        <v/>
      </c>
      <c r="R4" t="str">
        <f>""</f>
        <v/>
      </c>
      <c r="S4" t="str">
        <f>""</f>
        <v/>
      </c>
      <c r="T4" t="str">
        <f>"https://portaletrasparenza.consorziobacchiglione.it/dettagli/attodigara/6600/noleggio-autocarrata-20-mt-per-lavori-presso-c-o-margherita.html"</f>
        <v>https://portaletrasparenza.consorziobacchiglione.it/dettagli/attodigara/6600/noleggio-autocarrata-20-mt-per-lavori-presso-c-o-margherita.html</v>
      </c>
      <c r="U4" t="str">
        <f>"https://portaletrasparenza.consorziobacchiglione.it/download/attodigara/6600/63ac45558093b.PDF"</f>
        <v>https://portaletrasparenza.consorziobacchiglione.it/download/attodigara/6600/63ac45558093b.PDF</v>
      </c>
      <c r="V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" spans="1:22" x14ac:dyDescent="0.3">
      <c r="A5" t="str">
        <f>"Affidamento"</f>
        <v>Affidamento</v>
      </c>
      <c r="B5" t="str">
        <f>"Lavori di demolizione manufatto esistente e smaltimento del materiale di risulta presso scolo pescine"</f>
        <v>Lavori di demolizione manufatto esistente e smaltimento del materiale di risulta presso scolo pescine</v>
      </c>
      <c r="C5" t="str">
        <f>"Z42306FA12"</f>
        <v>Z42306FA12</v>
      </c>
      <c r="D5" t="str">
        <f>"02/02/2021"</f>
        <v>02/02/2021</v>
      </c>
      <c r="E5" t="str">
        <f>""</f>
        <v/>
      </c>
      <c r="F5" t="str">
        <f>""</f>
        <v/>
      </c>
      <c r="G5" t="str">
        <f>"4680.00"</f>
        <v>4680.00</v>
      </c>
      <c r="H5" t="str">
        <f>"Consorzio di bonifica Bacchiglione"</f>
        <v>Consorzio di bonifica Bacchiglione</v>
      </c>
      <c r="I5" t="str">
        <f>"92223390284"</f>
        <v>92223390284</v>
      </c>
      <c r="J5" t="str">
        <f>"23-AFFIDAMENTO DIRETTO"</f>
        <v>23-AFFIDAMENTO DIRETTO</v>
      </c>
      <c r="K5" t="str">
        <f>"01/02/2021"</f>
        <v>01/02/2021</v>
      </c>
      <c r="L5" t="str">
        <f>"26/02/2021"</f>
        <v>26/02/2021</v>
      </c>
      <c r="M5" t="str">
        <f>""</f>
        <v/>
      </c>
      <c r="N5" t="str">
        <f>"V.P.S. srl Via Morandina 3 - 35020 Codevigo (PD)"</f>
        <v>V.P.S. srl Via Morandina 3 - 35020 Codevigo (PD)</v>
      </c>
      <c r="O5" t="str">
        <f>"V.P.S. srl Via Morandina 3 - 35020 Codevigo (PD)"</f>
        <v>V.P.S. srl Via Morandina 3 - 35020 Codevigo (PD)</v>
      </c>
      <c r="P5" t="str">
        <f>"Z42306FA12: [4680.00€ ]"</f>
        <v>Z42306FA12: [4680.00€ ]</v>
      </c>
      <c r="Q5" t="str">
        <f>""</f>
        <v/>
      </c>
      <c r="R5" t="str">
        <f>""</f>
        <v/>
      </c>
      <c r="S5" t="str">
        <f>""</f>
        <v/>
      </c>
      <c r="T5" t="str">
        <f>"https://portaletrasparenza.consorziobacchiglione.it/dettagli/attodigara/6598/lavori-di-demolizione-manufatto-esistente-e-smaltimento-del-materiale-di-risulta-presso-scolo-pescine.html"</f>
        <v>https://portaletrasparenza.consorziobacchiglione.it/dettagli/attodigara/6598/lavori-di-demolizione-manufatto-esistente-e-smaltimento-del-materiale-di-risulta-presso-scolo-pescine.html</v>
      </c>
      <c r="U5" t="str">
        <f>"https://portaletrasparenza.consorziobacchiglione.it/download/attodigara/6598/63ac4554e1cec.PDF"</f>
        <v>https://portaletrasparenza.consorziobacchiglione.it/download/attodigara/6598/63ac4554e1cec.PDF</v>
      </c>
      <c r="V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" spans="1:22" x14ac:dyDescent="0.3">
      <c r="A6" t="str">
        <f>"Affidamento"</f>
        <v>Affidamento</v>
      </c>
      <c r="B6" t="str">
        <f>"Realizzazione di video sugli interventi effettuati nel Bacino Colli Euganei"</f>
        <v>Realizzazione di video sugli interventi effettuati nel Bacino Colli Euganei</v>
      </c>
      <c r="C6" t="str">
        <f>"Z89306F5AD"</f>
        <v>Z89306F5AD</v>
      </c>
      <c r="D6" t="str">
        <f>"02/02/2021"</f>
        <v>02/02/2021</v>
      </c>
      <c r="E6" t="str">
        <f>""</f>
        <v/>
      </c>
      <c r="F6" t="str">
        <f>""</f>
        <v/>
      </c>
      <c r="G6" t="str">
        <f>"3200.00"</f>
        <v>3200.00</v>
      </c>
      <c r="H6" t="str">
        <f>"Consorzio di bonifica Bacchiglione"</f>
        <v>Consorzio di bonifica Bacchiglione</v>
      </c>
      <c r="I6" t="str">
        <f>"92223390284"</f>
        <v>92223390284</v>
      </c>
      <c r="J6" t="str">
        <f>"23-AFFIDAMENTO DIRETTO"</f>
        <v>23-AFFIDAMENTO DIRETTO</v>
      </c>
      <c r="K6" t="str">
        <f>"01/02/2021"</f>
        <v>01/02/2021</v>
      </c>
      <c r="L6" t="str">
        <f>"11/02/2021"</f>
        <v>11/02/2021</v>
      </c>
      <c r="M6" t="str">
        <f>""</f>
        <v/>
      </c>
      <c r="N6" t="str">
        <f>"Cooperativa Deltaristi Soc.Coop. A.R.L. Viale Kennedi n. 41 - 45019 Taglio di po (RO)"</f>
        <v>Cooperativa Deltaristi Soc.Coop. A.R.L. Viale Kennedi n. 41 - 45019 Taglio di po (RO)</v>
      </c>
      <c r="O6" t="str">
        <f>"Cooperativa Deltaristi Soc.Coop. A.R.L. Viale Kennedi n. 41 - 45019 Taglio di po (RO)"</f>
        <v>Cooperativa Deltaristi Soc.Coop. A.R.L. Viale Kennedi n. 41 - 45019 Taglio di po (RO)</v>
      </c>
      <c r="P6" t="str">
        <f>"Z89306F5AD: [3200.00€ ]"</f>
        <v>Z89306F5AD: [3200.00€ ]</v>
      </c>
      <c r="Q6" t="str">
        <f>""</f>
        <v/>
      </c>
      <c r="R6" t="str">
        <f>""</f>
        <v/>
      </c>
      <c r="S6" t="str">
        <f>""</f>
        <v/>
      </c>
      <c r="T6" t="str">
        <f>"https://portaletrasparenza.consorziobacchiglione.it/dettagli/attodigara/6597/realizzazione-di-video-sugli-interventi-effettuati-nel-bacino-colli-euganei.html"</f>
        <v>https://portaletrasparenza.consorziobacchiglione.it/dettagli/attodigara/6597/realizzazione-di-video-sugli-interventi-effettuati-nel-bacino-colli-euganei.html</v>
      </c>
      <c r="U6" t="str">
        <f>"https://portaletrasparenza.consorziobacchiglione.it/download/attodigara/6597/63ac45549643c.PDF"</f>
        <v>https://portaletrasparenza.consorziobacchiglione.it/download/attodigara/6597/63ac45549643c.PDF</v>
      </c>
      <c r="V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" spans="1:22" x14ac:dyDescent="0.3">
      <c r="A7" t="str">
        <f>"Affidamento"</f>
        <v>Affidamento</v>
      </c>
      <c r="B7" t="str">
        <f>"Fornitura materiale elettrico per vari Impianti presso Bacino Sesta Presa"</f>
        <v>Fornitura materiale elettrico per vari Impianti presso Bacino Sesta Presa</v>
      </c>
      <c r="C7" t="str">
        <f>"ZA4306F22B"</f>
        <v>ZA4306F22B</v>
      </c>
      <c r="D7" t="str">
        <f>"02/02/2021"</f>
        <v>02/02/2021</v>
      </c>
      <c r="E7" t="str">
        <f>""</f>
        <v/>
      </c>
      <c r="F7" t="str">
        <f>""</f>
        <v/>
      </c>
      <c r="G7" t="str">
        <f>"3496.70"</f>
        <v>3496.70</v>
      </c>
      <c r="H7" t="str">
        <f>"Consorzio di bonifica Bacchiglione"</f>
        <v>Consorzio di bonifica Bacchiglione</v>
      </c>
      <c r="I7" t="str">
        <f>"92223390284"</f>
        <v>92223390284</v>
      </c>
      <c r="J7" t="str">
        <f>"23-AFFIDAMENTO DIRETTO"</f>
        <v>23-AFFIDAMENTO DIRETTO</v>
      </c>
      <c r="K7" t="str">
        <f>"01/02/2021"</f>
        <v>01/02/2021</v>
      </c>
      <c r="L7" t="str">
        <f>"28/02/2021"</f>
        <v>28/02/2021</v>
      </c>
      <c r="M7" t="str">
        <f>""</f>
        <v/>
      </c>
      <c r="N7" t="str">
        <f>"Elettroveneta S.p.A. Viale della Navigazione Interna, 48 - 35129 Padova (PD)"</f>
        <v>Elettroveneta S.p.A. Viale della Navigazione Interna, 48 - 35129 Padova (PD)</v>
      </c>
      <c r="O7" t="str">
        <f>"Elettroveneta S.p.A. Viale della Navigazione Interna, 48 - 35129 Padova (PD)"</f>
        <v>Elettroveneta S.p.A. Viale della Navigazione Interna, 48 - 35129 Padova (PD)</v>
      </c>
      <c r="P7" t="str">
        <f>"ZA4306F22B: [3459.17€ ]"</f>
        <v>ZA4306F22B: [3459.17€ ]</v>
      </c>
      <c r="Q7" t="str">
        <f>""</f>
        <v/>
      </c>
      <c r="R7" t="str">
        <f>""</f>
        <v/>
      </c>
      <c r="S7" t="str">
        <f>""</f>
        <v/>
      </c>
      <c r="T7" t="str">
        <f>"https://portaletrasparenza.consorziobacchiglione.it/dettagli/attodigara/6596/fornitura-materiale-elettrico-per-vari-impianti-presso-bacino-sesta-presa.html"</f>
        <v>https://portaletrasparenza.consorziobacchiglione.it/dettagli/attodigara/6596/fornitura-materiale-elettrico-per-vari-impianti-presso-bacino-sesta-presa.html</v>
      </c>
      <c r="U7" t="str">
        <f>"https://portaletrasparenza.consorziobacchiglione.it/download/attodigara/6596/63ac455426d89.PDF"</f>
        <v>https://portaletrasparenza.consorziobacchiglione.it/download/attodigara/6596/63ac455426d89.PDF</v>
      </c>
      <c r="V7">
        <f>(SUBSTITUTE(Tabella1[[#This Row],[Importo di aggiudicazione]],".",","))-(SUBSTITUTE(  SUBSTITUTE(          SUBSTITUTE(Tabella1[[#This Row],[Dettaglio somme liquidate]],Tabella1[[#This Row],[CIG]]&amp;": [",""),"€ ]",""),".",","))</f>
        <v>37.529999999999745</v>
      </c>
    </row>
    <row r="8" spans="1:22" x14ac:dyDescent="0.3">
      <c r="A8" t="str">
        <f>"Affidamento"</f>
        <v>Affidamento</v>
      </c>
      <c r="B8" t="str">
        <f>"Fornitura materiale elettrico per vari Impianti"</f>
        <v>Fornitura materiale elettrico per vari Impianti</v>
      </c>
      <c r="C8" t="str">
        <f>"Z79306FF17"</f>
        <v>Z79306FF17</v>
      </c>
      <c r="D8" t="str">
        <f>"02/02/2021"</f>
        <v>02/02/2021</v>
      </c>
      <c r="E8" t="str">
        <f>""</f>
        <v/>
      </c>
      <c r="F8" t="str">
        <f>""</f>
        <v/>
      </c>
      <c r="G8" t="str">
        <f>"1376.44"</f>
        <v>1376.44</v>
      </c>
      <c r="H8" t="str">
        <f>"Consorzio di bonifica Bacchiglione"</f>
        <v>Consorzio di bonifica Bacchiglione</v>
      </c>
      <c r="I8" t="str">
        <f>"92223390284"</f>
        <v>92223390284</v>
      </c>
      <c r="J8" t="str">
        <f>"23-AFFIDAMENTO DIRETTO"</f>
        <v>23-AFFIDAMENTO DIRETTO</v>
      </c>
      <c r="K8" t="str">
        <f>"01/02/2021"</f>
        <v>01/02/2021</v>
      </c>
      <c r="L8" t="str">
        <f>"31/03/2021"</f>
        <v>31/03/2021</v>
      </c>
      <c r="M8" t="str">
        <f>""</f>
        <v/>
      </c>
      <c r="N8" t="str">
        <f>"Marchiol S.P.A. Viale della Repubblica 41 31020 sede legale Villorba TV"</f>
        <v>Marchiol S.P.A. Viale della Repubblica 41 31020 sede legale Villorba TV</v>
      </c>
      <c r="O8" t="str">
        <f>"Marchiol S.P.A. Viale della Repubblica 41 31020 sede legale Villorba TV"</f>
        <v>Marchiol S.P.A. Viale della Repubblica 41 31020 sede legale Villorba TV</v>
      </c>
      <c r="P8" t="str">
        <f>"Z79306FF17: [1301.43€ ]"</f>
        <v>Z79306FF17: [1301.43€ ]</v>
      </c>
      <c r="Q8" t="str">
        <f>""</f>
        <v/>
      </c>
      <c r="R8" t="str">
        <f>""</f>
        <v/>
      </c>
      <c r="S8" t="str">
        <f>""</f>
        <v/>
      </c>
      <c r="T8" t="str">
        <f>"https://portaletrasparenza.consorziobacchiglione.it/dettagli/attodigara/6599/fornitura-materiale-elettrico-per-vari-impianti.html"</f>
        <v>https://portaletrasparenza.consorziobacchiglione.it/dettagli/attodigara/6599/fornitura-materiale-elettrico-per-vari-impianti.html</v>
      </c>
      <c r="U8" t="str">
        <f>"https://portaletrasparenza.consorziobacchiglione.it/download/attodigara/6599/63ac45554578b.PDF"</f>
        <v>https://portaletrasparenza.consorziobacchiglione.it/download/attodigara/6599/63ac45554578b.PDF</v>
      </c>
      <c r="V8">
        <f>(SUBSTITUTE(Tabella1[[#This Row],[Importo di aggiudicazione]],".",","))-(SUBSTITUTE(  SUBSTITUTE(          SUBSTITUTE(Tabella1[[#This Row],[Dettaglio somme liquidate]],Tabella1[[#This Row],[CIG]]&amp;": [",""),"€ ]",""),".",","))</f>
        <v>75.009999999999991</v>
      </c>
    </row>
    <row r="9" spans="1:22" x14ac:dyDescent="0.3">
      <c r="A9" t="str">
        <f>"Affidamento"</f>
        <v>Affidamento</v>
      </c>
      <c r="B9" t="str">
        <f>"Lavori di fornitura e installazione nuova paratoia presso sostegno FBG e nuova paratoia presso sostegno Seragiotto."</f>
        <v>Lavori di fornitura e installazione nuova paratoia presso sostegno FBG e nuova paratoia presso sostegno Seragiotto.</v>
      </c>
      <c r="C9" t="str">
        <f>"Z51306ED72"</f>
        <v>Z51306ED72</v>
      </c>
      <c r="D9" t="str">
        <f>"07/10/2021"</f>
        <v>07/10/2021</v>
      </c>
      <c r="E9" t="str">
        <f>""</f>
        <v/>
      </c>
      <c r="F9" t="str">
        <f>""</f>
        <v/>
      </c>
      <c r="G9" t="str">
        <f>"31100.00"</f>
        <v>31100.00</v>
      </c>
      <c r="H9" t="str">
        <f>"Consorzio di bonifica Bacchiglione"</f>
        <v>Consorzio di bonifica Bacchiglione</v>
      </c>
      <c r="I9" t="str">
        <f>"92223390284"</f>
        <v>92223390284</v>
      </c>
      <c r="J9" t="str">
        <f>"23-AFFIDAMENTO DIRETTO"</f>
        <v>23-AFFIDAMENTO DIRETTO</v>
      </c>
      <c r="K9" t="str">
        <f>"01/02/2021"</f>
        <v>01/02/2021</v>
      </c>
      <c r="L9" t="str">
        <f>"25/03/2022"</f>
        <v>25/03/2022</v>
      </c>
      <c r="M9" t="str">
        <f>""</f>
        <v/>
      </c>
      <c r="N9" t="str">
        <f>"ErreVi SRL Via Moscardina 10 - 36060 Pianezze (VI) | F.lli Scapin S.R.L. Viale dell' Artigianato 67 35013 Cittadella PD"</f>
        <v>ErreVi SRL Via Moscardina 10 - 36060 Pianezze (VI) | F.lli Scapin S.R.L. Viale dell' Artigianato 67 35013 Cittadella PD</v>
      </c>
      <c r="O9" t="str">
        <f>"F.lli Scapin S.R.L. Viale dell' Artigianato 67 35013 Cittadella PD"</f>
        <v>F.lli Scapin S.R.L. Viale dell' Artigianato 67 35013 Cittadella PD</v>
      </c>
      <c r="P9" t="s">
        <v>143</v>
      </c>
      <c r="Q9" t="str">
        <f>""</f>
        <v/>
      </c>
      <c r="R9" t="str">
        <f>""</f>
        <v/>
      </c>
      <c r="S9" t="str">
        <f>""</f>
        <v/>
      </c>
      <c r="T9" t="str">
        <f>"https://portaletrasparenza.consorziobacchiglione.it/dettagli/attodigara/6595/lavori-di-fornitura-e-installazione-nuova-paratoia-presso-sostegno-fbg-e-nuova-paratoia-presso-sostegno-seragiotto.html"</f>
        <v>https://portaletrasparenza.consorziobacchiglione.it/dettagli/attodigara/6595/lavori-di-fornitura-e-installazione-nuova-paratoia-presso-sostegno-fbg-e-nuova-paratoia-presso-sostegno-seragiotto.html</v>
      </c>
      <c r="U9" t="str">
        <f>"https://portaletrasparenza.consorziobacchiglione.it/download/attodigara/6595/63ac45d704cbd.PDF"</f>
        <v>https://portaletrasparenza.consorziobacchiglione.it/download/attodigara/6595/63ac45d704cbd.PDF</v>
      </c>
      <c r="V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" spans="1:22" x14ac:dyDescent="0.3">
      <c r="A10" t="str">
        <f>"Affidamento"</f>
        <v>Affidamento</v>
      </c>
      <c r="B10" t="str">
        <f>"Manutenzione e riparazione mezzo con targa: AKA712"</f>
        <v>Manutenzione e riparazione mezzo con targa: AKA712</v>
      </c>
      <c r="C10" t="str">
        <f>"Z9718C79A5"</f>
        <v>Z9718C79A5</v>
      </c>
      <c r="D10" t="str">
        <f>"04/11/2021"</f>
        <v>04/11/2021</v>
      </c>
      <c r="E10" t="str">
        <f>""</f>
        <v/>
      </c>
      <c r="F10" t="str">
        <f>""</f>
        <v/>
      </c>
      <c r="G10" t="str">
        <f>"85.91"</f>
        <v>85.91</v>
      </c>
      <c r="H10" t="str">
        <f>"Consorzio di bonifica Bacchiglione"</f>
        <v>Consorzio di bonifica Bacchiglione</v>
      </c>
      <c r="I10" t="str">
        <f>"92223390284"</f>
        <v>92223390284</v>
      </c>
      <c r="J10" t="str">
        <f>"23-AFFIDAMENTO DIRETTO"</f>
        <v>23-AFFIDAMENTO DIRETTO</v>
      </c>
      <c r="K10" t="str">
        <f>"01/03/2021"</f>
        <v>01/03/2021</v>
      </c>
      <c r="L10" t="str">
        <f>"20/07/2021"</f>
        <v>20/07/2021</v>
      </c>
      <c r="M10" t="str">
        <f>""</f>
        <v/>
      </c>
      <c r="N10" t="str">
        <f>"Adriatica Commerciale Macchine s.r.l. Via dell'Artigianato 5 35020 Due Carrare PD"</f>
        <v>Adriatica Commerciale Macchine s.r.l. Via dell'Artigianato 5 35020 Due Carrare PD</v>
      </c>
      <c r="O10" t="str">
        <f>"Adriatica Commerciale Macchine s.r.l. Via dell'Artigianato 5 35020 Due Carrare PD"</f>
        <v>Adriatica Commerciale Macchine s.r.l. Via dell'Artigianato 5 35020 Due Carrare PD</v>
      </c>
      <c r="P10" t="str">
        <f>"Z9718C79A5: [85.91€ ]"</f>
        <v>Z9718C79A5: [85.91€ ]</v>
      </c>
      <c r="Q10" t="str">
        <f>""</f>
        <v/>
      </c>
      <c r="R10" t="str">
        <f>""</f>
        <v/>
      </c>
      <c r="S10" t="str">
        <f>""</f>
        <v/>
      </c>
      <c r="T10" t="str">
        <f>"https://portaletrasparenza.consorziobacchiglione.it/dettagli/attodigara/188/manutenzione-e-riparazione-mezzo-con-targa-aka712.html"</f>
        <v>https://portaletrasparenza.consorziobacchiglione.it/dettagli/attodigara/188/manutenzione-e-riparazione-mezzo-con-targa-aka712.html</v>
      </c>
      <c r="U10" t="str">
        <f>""</f>
        <v/>
      </c>
      <c r="V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" spans="1:22" x14ac:dyDescent="0.3">
      <c r="A11" t="str">
        <f>"Affidamento"</f>
        <v>Affidamento</v>
      </c>
      <c r="B11" t="str">
        <f>"Servizio di postalizzazione dei solleciti relativi agli insoluti anno 2020."</f>
        <v>Servizio di postalizzazione dei solleciti relativi agli insoluti anno 2020.</v>
      </c>
      <c r="C11" t="str">
        <f>"ZA330D43AC"</f>
        <v>ZA330D43AC</v>
      </c>
      <c r="D11" t="str">
        <f>"01/03/2021"</f>
        <v>01/03/2021</v>
      </c>
      <c r="E11" t="str">
        <f>""</f>
        <v/>
      </c>
      <c r="F11" t="str">
        <f>""</f>
        <v/>
      </c>
      <c r="G11" t="str">
        <f>"9800.00"</f>
        <v>9800.00</v>
      </c>
      <c r="H11" t="str">
        <f>"Consorzio di bonifica Bacchiglione"</f>
        <v>Consorzio di bonifica Bacchiglione</v>
      </c>
      <c r="I11" t="str">
        <f>"92223390284"</f>
        <v>92223390284</v>
      </c>
      <c r="J11" t="str">
        <f>"23-AFFIDAMENTO DIRETTO"</f>
        <v>23-AFFIDAMENTO DIRETTO</v>
      </c>
      <c r="K11" t="str">
        <f>"01/03/2021"</f>
        <v>01/03/2021</v>
      </c>
      <c r="L11" t="str">
        <f>"02/03/2021"</f>
        <v>02/03/2021</v>
      </c>
      <c r="M11" t="str">
        <f>""</f>
        <v/>
      </c>
      <c r="N11" t="str">
        <f>"POSTE ITALIANE"</f>
        <v>POSTE ITALIANE</v>
      </c>
      <c r="O11" t="str">
        <f>"POSTE ITALIANE"</f>
        <v>POSTE ITALIANE</v>
      </c>
      <c r="P11" t="str">
        <f>"ZA330D43AC: [9672.49€ ]"</f>
        <v>ZA330D43AC: [9672.49€ ]</v>
      </c>
      <c r="Q11" t="str">
        <f>""</f>
        <v/>
      </c>
      <c r="R11" t="str">
        <f>""</f>
        <v/>
      </c>
      <c r="S11" t="str">
        <f>""</f>
        <v/>
      </c>
      <c r="T11" t="str">
        <f>"https://portaletrasparenza.consorziobacchiglione.it/dettagli/attodigara/6664/servizio-di-postalizzazione-dei-solleciti-relativi-agli-insoluti-anno-2020.html"</f>
        <v>https://portaletrasparenza.consorziobacchiglione.it/dettagli/attodigara/6664/servizio-di-postalizzazione-dei-solleciti-relativi-agli-insoluti-anno-2020.html</v>
      </c>
      <c r="U11" t="str">
        <f>"https://portaletrasparenza.consorziobacchiglione.it/download/attodigara/6664/63ac45630e75c.PDF"</f>
        <v>https://portaletrasparenza.consorziobacchiglione.it/download/attodigara/6664/63ac45630e75c.PDF</v>
      </c>
      <c r="V11">
        <f>(SUBSTITUTE(Tabella1[[#This Row],[Importo di aggiudicazione]],".",","))-(SUBSTITUTE(  SUBSTITUTE(          SUBSTITUTE(Tabella1[[#This Row],[Dettaglio somme liquidate]],Tabella1[[#This Row],[CIG]]&amp;": [",""),"€ ]",""),".",","))</f>
        <v>127.51000000000022</v>
      </c>
    </row>
    <row r="12" spans="1:22" x14ac:dyDescent="0.3">
      <c r="A12" t="str">
        <f>"Affidamento"</f>
        <v>Affidamento</v>
      </c>
      <c r="B12" t="str">
        <f>"Noleggio escavatore ZX210, miniescavatore e martello demolitore per lavori scolo Bolzani e Pavariane Est."</f>
        <v>Noleggio escavatore ZX210, miniescavatore e martello demolitore per lavori scolo Bolzani e Pavariane Est.</v>
      </c>
      <c r="C12" t="str">
        <f>"ZC1193C403"</f>
        <v>ZC1193C403</v>
      </c>
      <c r="D12" t="str">
        <f>"04/11/2021"</f>
        <v>04/11/2021</v>
      </c>
      <c r="E12" t="str">
        <f>""</f>
        <v/>
      </c>
      <c r="F12" t="str">
        <f>""</f>
        <v/>
      </c>
      <c r="G12" t="str">
        <f>"4740.00"</f>
        <v>4740.00</v>
      </c>
      <c r="H12" t="str">
        <f>"Consorzio di bonifica Bacchiglione"</f>
        <v>Consorzio di bonifica Bacchiglione</v>
      </c>
      <c r="I12" t="str">
        <f>"92223390284"</f>
        <v>92223390284</v>
      </c>
      <c r="J12" t="str">
        <f>"23-AFFIDAMENTO DIRETTO"</f>
        <v>23-AFFIDAMENTO DIRETTO</v>
      </c>
      <c r="K12" t="str">
        <f>"01/04/2021"</f>
        <v>01/04/2021</v>
      </c>
      <c r="L12" t="str">
        <f>"18/05/2021"</f>
        <v>18/05/2021</v>
      </c>
      <c r="M12" t="str">
        <f>""</f>
        <v/>
      </c>
      <c r="N12" t="str">
        <f>"Sorme Noleggi s.a.s. Via Monache 21 35030 Selvazzano Dentro PD"</f>
        <v>Sorme Noleggi s.a.s. Via Monache 21 35030 Selvazzano Dentro PD</v>
      </c>
      <c r="O12" t="str">
        <f>"Sorme Noleggi s.a.s. Via Monache 21 35030 Selvazzano Dentro PD"</f>
        <v>Sorme Noleggi s.a.s. Via Monache 21 35030 Selvazzano Dentro PD</v>
      </c>
      <c r="P12" t="str">
        <f>"ZC1193C403: [4740.00€ ]"</f>
        <v>ZC1193C403: [4740.00€ ]</v>
      </c>
      <c r="Q12" t="str">
        <f>""</f>
        <v/>
      </c>
      <c r="R12" t="str">
        <f>""</f>
        <v/>
      </c>
      <c r="S12" t="str">
        <f>""</f>
        <v/>
      </c>
      <c r="T12" t="str">
        <f>"https://portaletrasparenza.consorziobacchiglione.it/dettagli/attodigara/288/noleggio-escavatore-zx210-miniescavatore-e-martello-demolitore-per-lavori-scolo-bolzani-e-pavariane-est.html"</f>
        <v>https://portaletrasparenza.consorziobacchiglione.it/dettagli/attodigara/288/noleggio-escavatore-zx210-miniescavatore-e-martello-demolitore-per-lavori-scolo-bolzani-e-pavariane-est.html</v>
      </c>
      <c r="U12" t="str">
        <f>""</f>
        <v/>
      </c>
      <c r="V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" spans="1:22" x14ac:dyDescent="0.3">
      <c r="A13" t="str">
        <f>"Affidamento"</f>
        <v>Affidamento</v>
      </c>
      <c r="B13" t="str">
        <f>"Trasporto escavatore cingolato dallo scolo Biancolino allo scolo Bolzani."</f>
        <v>Trasporto escavatore cingolato dallo scolo Biancolino allo scolo Bolzani.</v>
      </c>
      <c r="C13" t="str">
        <f>"Z83193AE66"</f>
        <v>Z83193AE66</v>
      </c>
      <c r="D13" t="str">
        <f>"04/11/2021"</f>
        <v>04/11/2021</v>
      </c>
      <c r="E13" t="str">
        <f>""</f>
        <v/>
      </c>
      <c r="F13" t="str">
        <f>""</f>
        <v/>
      </c>
      <c r="G13" t="str">
        <f>"248.00"</f>
        <v>248.00</v>
      </c>
      <c r="H13" t="str">
        <f>"Consorzio di bonifica Bacchiglione"</f>
        <v>Consorzio di bonifica Bacchiglione</v>
      </c>
      <c r="I13" t="str">
        <f>"92223390284"</f>
        <v>92223390284</v>
      </c>
      <c r="J13" t="str">
        <f>"23-AFFIDAMENTO DIRETTO"</f>
        <v>23-AFFIDAMENTO DIRETTO</v>
      </c>
      <c r="K13" t="str">
        <f>"01/04/2021"</f>
        <v>01/04/2021</v>
      </c>
      <c r="L13" t="str">
        <f>"18/05/2021"</f>
        <v>18/05/2021</v>
      </c>
      <c r="M13" t="str">
        <f>""</f>
        <v/>
      </c>
      <c r="N13" t="str">
        <f>"Martini Luciano s.r.l. Via Bagnara Alta 1172 35030 VO PD"</f>
        <v>Martini Luciano s.r.l. Via Bagnara Alta 1172 35030 VO PD</v>
      </c>
      <c r="O13" t="str">
        <f>"Martini Luciano s.r.l. Via Bagnara Alta 1172 35030 VO PD"</f>
        <v>Martini Luciano s.r.l. Via Bagnara Alta 1172 35030 VO PD</v>
      </c>
      <c r="P13" t="str">
        <f>"Z83193AE66: [248.00€ ]"</f>
        <v>Z83193AE66: [248.00€ ]</v>
      </c>
      <c r="Q13" t="str">
        <f>""</f>
        <v/>
      </c>
      <c r="R13" t="str">
        <f>""</f>
        <v/>
      </c>
      <c r="S13" t="str">
        <f>""</f>
        <v/>
      </c>
      <c r="T13" t="str">
        <f>"https://portaletrasparenza.consorziobacchiglione.it/dettagli/attodigara/287/trasporto-escavatore-cingolato-dallo-scolo-biancolino-allo-scolo-bolzani.html"</f>
        <v>https://portaletrasparenza.consorziobacchiglione.it/dettagli/attodigara/287/trasporto-escavatore-cingolato-dallo-scolo-biancolino-allo-scolo-bolzani.html</v>
      </c>
      <c r="U13" t="str">
        <f>""</f>
        <v/>
      </c>
      <c r="V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" spans="1:22" x14ac:dyDescent="0.3">
      <c r="A14" t="str">
        <f>"Affidamento"</f>
        <v>Affidamento</v>
      </c>
      <c r="B14" t="str">
        <f>"Riparazione recinzione e cancello presso Idrovora Cà Nordio."</f>
        <v>Riparazione recinzione e cancello presso Idrovora Cà Nordio.</v>
      </c>
      <c r="C14" t="str">
        <f>"Z96193AE9E"</f>
        <v>Z96193AE9E</v>
      </c>
      <c r="D14" t="str">
        <f>"04/11/2021"</f>
        <v>04/11/2021</v>
      </c>
      <c r="E14" t="str">
        <f>""</f>
        <v/>
      </c>
      <c r="F14" t="str">
        <f>""</f>
        <v/>
      </c>
      <c r="G14" t="str">
        <f>"2500.00"</f>
        <v>2500.00</v>
      </c>
      <c r="H14" t="str">
        <f>"Consorzio di bonifica Bacchiglione"</f>
        <v>Consorzio di bonifica Bacchiglione</v>
      </c>
      <c r="I14" t="str">
        <f>"92223390284"</f>
        <v>92223390284</v>
      </c>
      <c r="J14" t="str">
        <f>"23-AFFIDAMENTO DIRETTO"</f>
        <v>23-AFFIDAMENTO DIRETTO</v>
      </c>
      <c r="K14" t="str">
        <f>"01/04/2021"</f>
        <v>01/04/2021</v>
      </c>
      <c r="L14" t="str">
        <f>"27/07/2021"</f>
        <v>27/07/2021</v>
      </c>
      <c r="M14" t="str">
        <f>""</f>
        <v/>
      </c>
      <c r="N14" t="str">
        <f>"Viale Valter Via 1° Maggio 124 30010 Campagna Lupia VE"</f>
        <v>Viale Valter Via 1° Maggio 124 30010 Campagna Lupia VE</v>
      </c>
      <c r="O14" t="str">
        <f>"Viale Valter Via 1° Maggio 124 30010 Campagna Lupia VE"</f>
        <v>Viale Valter Via 1° Maggio 124 30010 Campagna Lupia VE</v>
      </c>
      <c r="P14" t="str">
        <f>"Z96193AE9E: [2500.00€ ]"</f>
        <v>Z96193AE9E: [2500.00€ ]</v>
      </c>
      <c r="Q14" t="str">
        <f>""</f>
        <v/>
      </c>
      <c r="R14" t="str">
        <f>""</f>
        <v/>
      </c>
      <c r="S14" t="str">
        <f>""</f>
        <v/>
      </c>
      <c r="T14" t="str">
        <f>"https://portaletrasparenza.consorziobacchiglione.it/dettagli/attodigara/286/riparazione-recinzione-e-cancello-presso-idrovora-ca-nordio.html"</f>
        <v>https://portaletrasparenza.consorziobacchiglione.it/dettagli/attodigara/286/riparazione-recinzione-e-cancello-presso-idrovora-ca-nordio.html</v>
      </c>
      <c r="U14" t="str">
        <f>""</f>
        <v/>
      </c>
      <c r="V1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" spans="1:22" x14ac:dyDescent="0.3">
      <c r="A15" t="str">
        <f>"Affidamento"</f>
        <v>Affidamento</v>
      </c>
      <c r="B15" t="str">
        <f>"Trasporto terreno per rialzo argini scolo Menona."</f>
        <v>Trasporto terreno per rialzo argini scolo Menona.</v>
      </c>
      <c r="C15" t="str">
        <f>"Z2A193ACF6"</f>
        <v>Z2A193ACF6</v>
      </c>
      <c r="D15" t="str">
        <f>"04/11/2021"</f>
        <v>04/11/2021</v>
      </c>
      <c r="E15" t="str">
        <f>""</f>
        <v/>
      </c>
      <c r="F15" t="str">
        <f>""</f>
        <v/>
      </c>
      <c r="G15" t="str">
        <f>"5340.00"</f>
        <v>5340.00</v>
      </c>
      <c r="H15" t="str">
        <f>"Consorzio di bonifica Bacchiglione"</f>
        <v>Consorzio di bonifica Bacchiglione</v>
      </c>
      <c r="I15" t="str">
        <f>"92223390284"</f>
        <v>92223390284</v>
      </c>
      <c r="J15" t="str">
        <f>"23-AFFIDAMENTO DIRETTO"</f>
        <v>23-AFFIDAMENTO DIRETTO</v>
      </c>
      <c r="K15" t="str">
        <f>"01/04/2021"</f>
        <v>01/04/2021</v>
      </c>
      <c r="L15" t="str">
        <f>"18/05/2021"</f>
        <v>18/05/2021</v>
      </c>
      <c r="M15" t="str">
        <f>""</f>
        <v/>
      </c>
      <c r="N15" t="str">
        <f>"Martini Luciano s.r.l. Via Bagnara Alta 1172 35030 VO PD"</f>
        <v>Martini Luciano s.r.l. Via Bagnara Alta 1172 35030 VO PD</v>
      </c>
      <c r="O15" t="str">
        <f>"Martini Luciano s.r.l. Via Bagnara Alta 1172 35030 VO PD"</f>
        <v>Martini Luciano s.r.l. Via Bagnara Alta 1172 35030 VO PD</v>
      </c>
      <c r="P15" t="str">
        <f>"Z2A193ACF6: [5340.00€ ]"</f>
        <v>Z2A193ACF6: [5340.00€ ]</v>
      </c>
      <c r="Q15" t="str">
        <f>""</f>
        <v/>
      </c>
      <c r="R15" t="str">
        <f>""</f>
        <v/>
      </c>
      <c r="S15" t="str">
        <f>""</f>
        <v/>
      </c>
      <c r="T15" t="str">
        <f>"https://portaletrasparenza.consorziobacchiglione.it/dettagli/attodigara/285/trasporto-terreno-per-rialzo-argini-scolo-menona.html"</f>
        <v>https://portaletrasparenza.consorziobacchiglione.it/dettagli/attodigara/285/trasporto-terreno-per-rialzo-argini-scolo-menona.html</v>
      </c>
      <c r="U15" t="str">
        <f>""</f>
        <v/>
      </c>
      <c r="V1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" spans="1:22" x14ac:dyDescent="0.3">
      <c r="A16" t="str">
        <f>"Affidamento"</f>
        <v>Affidamento</v>
      </c>
      <c r="B16" t="str">
        <f>"Fornitura sasso per bacino Sesta Presa."</f>
        <v>Fornitura sasso per bacino Sesta Presa.</v>
      </c>
      <c r="C16" t="str">
        <f>"ZD7193A6A5"</f>
        <v>ZD7193A6A5</v>
      </c>
      <c r="D16" t="str">
        <f>"04/11/2021"</f>
        <v>04/11/2021</v>
      </c>
      <c r="E16" t="str">
        <f>""</f>
        <v/>
      </c>
      <c r="F16" t="str">
        <f>""</f>
        <v/>
      </c>
      <c r="G16" t="str">
        <f>"2274.36"</f>
        <v>2274.36</v>
      </c>
      <c r="H16" t="str">
        <f>"Consorzio di bonifica Bacchiglione"</f>
        <v>Consorzio di bonifica Bacchiglione</v>
      </c>
      <c r="I16" t="str">
        <f>"92223390284"</f>
        <v>92223390284</v>
      </c>
      <c r="J16" t="str">
        <f>"23-AFFIDAMENTO DIRETTO"</f>
        <v>23-AFFIDAMENTO DIRETTO</v>
      </c>
      <c r="K16" t="str">
        <f>"01/04/2021"</f>
        <v>01/04/2021</v>
      </c>
      <c r="L16" t="str">
        <f>"18/05/2021"</f>
        <v>18/05/2021</v>
      </c>
      <c r="M16" t="str">
        <f>""</f>
        <v/>
      </c>
      <c r="N16" t="str">
        <f>"Trovò s.r.l. Via Idrovora, 3 - 35020 Codevigo (PD)"</f>
        <v>Trovò s.r.l. Via Idrovora, 3 - 35020 Codevigo (PD)</v>
      </c>
      <c r="O16" t="str">
        <f>"Trovò s.r.l. Via Idrovora, 3 - 35020 Codevigo (PD)"</f>
        <v>Trovò s.r.l. Via Idrovora, 3 - 35020 Codevigo (PD)</v>
      </c>
      <c r="P16" t="str">
        <f>"ZD7193A6A5: [2274.36€ ]"</f>
        <v>ZD7193A6A5: [2274.36€ ]</v>
      </c>
      <c r="Q16" t="str">
        <f>""</f>
        <v/>
      </c>
      <c r="R16" t="str">
        <f>""</f>
        <v/>
      </c>
      <c r="S16" t="str">
        <f>""</f>
        <v/>
      </c>
      <c r="T16" t="str">
        <f>"https://portaletrasparenza.consorziobacchiglione.it/dettagli/attodigara/284/fornitura-sasso-per-bacino-sesta-presa.html"</f>
        <v>https://portaletrasparenza.consorziobacchiglione.it/dettagli/attodigara/284/fornitura-sasso-per-bacino-sesta-presa.html</v>
      </c>
      <c r="U16" t="str">
        <f>""</f>
        <v/>
      </c>
      <c r="V1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" spans="1:22" x14ac:dyDescent="0.3">
      <c r="A17" t="str">
        <f>"Affidamento"</f>
        <v>Affidamento</v>
      </c>
      <c r="B17" t="str">
        <f>"Servizio di redazione paesaggistica semplificata al fine di ottenere parere favorevole alla posa della recinzione da realizzarsi sulla sommità arginale del Fiume Brenta - 2^ Stazione di Sollevamento. - Processo ID 006-03"</f>
        <v>Servizio di redazione paesaggistica semplificata al fine di ottenere parere favorevole alla posa della recinzione da realizzarsi sulla sommità arginale del Fiume Brenta - 2^ Stazione di Sollevamento. - Processo ID 006-03</v>
      </c>
      <c r="C17" t="str">
        <f>"ZD1193BA99"</f>
        <v>ZD1193BA99</v>
      </c>
      <c r="D17" t="str">
        <f>"04/11/2021"</f>
        <v>04/11/2021</v>
      </c>
      <c r="E17" t="str">
        <f>""</f>
        <v/>
      </c>
      <c r="F17" t="str">
        <f>""</f>
        <v/>
      </c>
      <c r="G17" t="str">
        <f>"312.00"</f>
        <v>312.00</v>
      </c>
      <c r="H17" t="str">
        <f>"Consorzio di bonifica Bacchiglione"</f>
        <v>Consorzio di bonifica Bacchiglione</v>
      </c>
      <c r="I17" t="str">
        <f>"92223390284"</f>
        <v>92223390284</v>
      </c>
      <c r="J17" t="str">
        <f>"23-AFFIDAMENTO DIRETTO"</f>
        <v>23-AFFIDAMENTO DIRETTO</v>
      </c>
      <c r="K17" t="str">
        <f>"01/04/2021"</f>
        <v>01/04/2021</v>
      </c>
      <c r="L17" t="str">
        <f>"07/11/2021"</f>
        <v>07/11/2021</v>
      </c>
      <c r="M17" t="str">
        <f>""</f>
        <v/>
      </c>
      <c r="N17" t="str">
        <f>"Ing. FABIO MURARO"</f>
        <v>Ing. FABIO MURARO</v>
      </c>
      <c r="O17" t="str">
        <f>"Ing. FABIO MURARO"</f>
        <v>Ing. FABIO MURARO</v>
      </c>
      <c r="P17" t="str">
        <f>"ZD1193BA99: [312.00€ ]"</f>
        <v>ZD1193BA99: [312.00€ ]</v>
      </c>
      <c r="Q17" t="str">
        <f>""</f>
        <v/>
      </c>
      <c r="R17" t="str">
        <f>""</f>
        <v/>
      </c>
      <c r="S17" t="str">
        <f>""</f>
        <v/>
      </c>
      <c r="T17" t="s">
        <v>53</v>
      </c>
      <c r="U17" t="str">
        <f>""</f>
        <v/>
      </c>
      <c r="V1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" spans="1:22" x14ac:dyDescent="0.3">
      <c r="A18" t="str">
        <f>"Affidamento"</f>
        <v>Affidamento</v>
      </c>
      <c r="B18" t="str">
        <f>"Fornitura della cordonata in cemento necessaria alla sistemazione esterna dell impianto Idrovoro sul Fiume Brenta. - Processo ID 006-03."</f>
        <v>Fornitura della cordonata in cemento necessaria alla sistemazione esterna dell impianto Idrovoro sul Fiume Brenta. - Processo ID 006-03.</v>
      </c>
      <c r="C18" t="str">
        <f>"ZD4193B390"</f>
        <v>ZD4193B390</v>
      </c>
      <c r="D18" t="str">
        <f>"04/11/2021"</f>
        <v>04/11/2021</v>
      </c>
      <c r="E18" t="str">
        <f>""</f>
        <v/>
      </c>
      <c r="F18" t="str">
        <f>""</f>
        <v/>
      </c>
      <c r="G18" t="str">
        <f>"1079.80"</f>
        <v>1079.80</v>
      </c>
      <c r="H18" t="str">
        <f>"Consorzio di bonifica Bacchiglione"</f>
        <v>Consorzio di bonifica Bacchiglione</v>
      </c>
      <c r="I18" t="str">
        <f>"92223390284"</f>
        <v>92223390284</v>
      </c>
      <c r="J18" t="str">
        <f>"23-AFFIDAMENTO DIRETTO"</f>
        <v>23-AFFIDAMENTO DIRETTO</v>
      </c>
      <c r="K18" t="str">
        <f>"01/04/2021"</f>
        <v>01/04/2021</v>
      </c>
      <c r="L18" t="str">
        <f>"18/05/2021"</f>
        <v>18/05/2021</v>
      </c>
      <c r="M18" t="str">
        <f>""</f>
        <v/>
      </c>
      <c r="N18" t="str">
        <f>"Arcolin Ediliza sas"</f>
        <v>Arcolin Ediliza sas</v>
      </c>
      <c r="O18" t="str">
        <f>"Arcolin Ediliza sas"</f>
        <v>Arcolin Ediliza sas</v>
      </c>
      <c r="P18" t="str">
        <f>"ZD4193B390: [1079.34€ ]"</f>
        <v>ZD4193B390: [1079.34€ ]</v>
      </c>
      <c r="Q18" t="str">
        <f>""</f>
        <v/>
      </c>
      <c r="R18" t="str">
        <f>""</f>
        <v/>
      </c>
      <c r="S18" t="str">
        <f>""</f>
        <v/>
      </c>
      <c r="T18" t="str">
        <f>"https://portaletrasparenza.consorziobacchiglione.it/dettagli/attodigara/281/fornitura-della-cordonata-in-cemento-necessaria-alla-sistemazione-esterna-dell-impianto-idrovoro-sul-fiume-brenta-processo-id-006-03.html"</f>
        <v>https://portaletrasparenza.consorziobacchiglione.it/dettagli/attodigara/281/fornitura-della-cordonata-in-cemento-necessaria-alla-sistemazione-esterna-dell-impianto-idrovoro-sul-fiume-brenta-processo-id-006-03.html</v>
      </c>
      <c r="U18" t="str">
        <f>""</f>
        <v/>
      </c>
      <c r="V18">
        <f>(SUBSTITUTE(Tabella1[[#This Row],[Importo di aggiudicazione]],".",","))-(SUBSTITUTE(  SUBSTITUTE(          SUBSTITUTE(Tabella1[[#This Row],[Dettaglio somme liquidate]],Tabella1[[#This Row],[CIG]]&amp;": [",""),"€ ]",""),".",","))</f>
        <v>0.46000000000003638</v>
      </c>
    </row>
    <row r="19" spans="1:22" x14ac:dyDescent="0.3">
      <c r="A19" t="str">
        <f>"Affidamento"</f>
        <v>Affidamento</v>
      </c>
      <c r="B19" t="str">
        <f>"Pulizia vasca biologica grande sede Consorziale."</f>
        <v>Pulizia vasca biologica grande sede Consorziale.</v>
      </c>
      <c r="C19" t="str">
        <f>"ZC7193A05F"</f>
        <v>ZC7193A05F</v>
      </c>
      <c r="D19" t="str">
        <f>"04/11/2021"</f>
        <v>04/11/2021</v>
      </c>
      <c r="E19" t="str">
        <f>""</f>
        <v/>
      </c>
      <c r="F19" t="str">
        <f>""</f>
        <v/>
      </c>
      <c r="G19" t="str">
        <f>"300.00"</f>
        <v>300.00</v>
      </c>
      <c r="H19" t="str">
        <f>"Consorzio di bonifica Bacchiglione"</f>
        <v>Consorzio di bonifica Bacchiglione</v>
      </c>
      <c r="I19" t="str">
        <f>"92223390284"</f>
        <v>92223390284</v>
      </c>
      <c r="J19" t="str">
        <f>"23-AFFIDAMENTO DIRETTO"</f>
        <v>23-AFFIDAMENTO DIRETTO</v>
      </c>
      <c r="K19" t="str">
        <f>"01/04/2021"</f>
        <v>01/04/2021</v>
      </c>
      <c r="L19" t="str">
        <f>"03/05/2021"</f>
        <v>03/05/2021</v>
      </c>
      <c r="M19" t="str">
        <f>""</f>
        <v/>
      </c>
      <c r="N19" t="str">
        <f>"Mietto Gaetano Espurghi s.r.l. Via Vigonovese 88 35020 Saonara PD"</f>
        <v>Mietto Gaetano Espurghi s.r.l. Via Vigonovese 88 35020 Saonara PD</v>
      </c>
      <c r="O19" t="str">
        <f>"Mietto Gaetano Espurghi s.r.l. Via Vigonovese 88 35020 Saonara PD"</f>
        <v>Mietto Gaetano Espurghi s.r.l. Via Vigonovese 88 35020 Saonara PD</v>
      </c>
      <c r="P19" t="str">
        <f>"ZC7193A05F: [270.49€ ]"</f>
        <v>ZC7193A05F: [270.49€ ]</v>
      </c>
      <c r="Q19" t="str">
        <f>""</f>
        <v/>
      </c>
      <c r="R19" t="str">
        <f>""</f>
        <v/>
      </c>
      <c r="S19" t="str">
        <f>""</f>
        <v/>
      </c>
      <c r="T19" t="str">
        <f>"https://portaletrasparenza.consorziobacchiglione.it/dettagli/attodigara/283/pulizia-vasca-biologica-grande-sede-consorziale.html"</f>
        <v>https://portaletrasparenza.consorziobacchiglione.it/dettagli/attodigara/283/pulizia-vasca-biologica-grande-sede-consorziale.html</v>
      </c>
      <c r="U19" t="str">
        <f>""</f>
        <v/>
      </c>
      <c r="V19">
        <f>(SUBSTITUTE(Tabella1[[#This Row],[Importo di aggiudicazione]],".",","))-(SUBSTITUTE(  SUBSTITUTE(          SUBSTITUTE(Tabella1[[#This Row],[Dettaglio somme liquidate]],Tabella1[[#This Row],[CIG]]&amp;": [",""),"€ ]",""),".",","))</f>
        <v>29.509999999999991</v>
      </c>
    </row>
    <row r="20" spans="1:22" x14ac:dyDescent="0.3">
      <c r="A20" t="str">
        <f>"Affidamento"</f>
        <v>Affidamento</v>
      </c>
      <c r="B20" t="str">
        <f>"Sostituzione tubo gasolio su distributore mobile n.3 installato su mezzo targato: EP107XC"</f>
        <v>Sostituzione tubo gasolio su distributore mobile n.3 installato su mezzo targato: EP107XC</v>
      </c>
      <c r="C20" t="str">
        <f>"Z243134136"</f>
        <v>Z243134136</v>
      </c>
      <c r="D20" t="str">
        <f>"02/04/2021"</f>
        <v>02/04/2021</v>
      </c>
      <c r="E20" t="str">
        <f>""</f>
        <v/>
      </c>
      <c r="F20" t="str">
        <f>""</f>
        <v/>
      </c>
      <c r="G20" t="str">
        <f>"282.00"</f>
        <v>282.00</v>
      </c>
      <c r="H20" t="str">
        <f>"Consorzio di bonifica Bacchiglione"</f>
        <v>Consorzio di bonifica Bacchiglione</v>
      </c>
      <c r="I20" t="str">
        <f>"92223390284"</f>
        <v>92223390284</v>
      </c>
      <c r="J20" t="str">
        <f>"23-AFFIDAMENTO DIRETTO"</f>
        <v>23-AFFIDAMENTO DIRETTO</v>
      </c>
      <c r="K20" t="str">
        <f>"01/04/2021"</f>
        <v>01/04/2021</v>
      </c>
      <c r="L20" t="str">
        <f>"13/04/2021"</f>
        <v>13/04/2021</v>
      </c>
      <c r="M20" t="str">
        <f>""</f>
        <v/>
      </c>
      <c r="N20" t="str">
        <f>"Officina Biesse S.n.c. Via Matteotti 24 35020 Arzergrande PD"</f>
        <v>Officina Biesse S.n.c. Via Matteotti 24 35020 Arzergrande PD</v>
      </c>
      <c r="O20" t="str">
        <f>"Officina Biesse S.n.c. Via Matteotti 24 35020 Arzergrande PD"</f>
        <v>Officina Biesse S.n.c. Via Matteotti 24 35020 Arzergrande PD</v>
      </c>
      <c r="P20" t="str">
        <f>"Z243134136: [282.00€ ]"</f>
        <v>Z243134136: [282.00€ ]</v>
      </c>
      <c r="Q20" t="str">
        <f>""</f>
        <v/>
      </c>
      <c r="R20" t="str">
        <f>""</f>
        <v/>
      </c>
      <c r="S20" t="str">
        <f>""</f>
        <v/>
      </c>
      <c r="T20" t="str">
        <f>"https://portaletrasparenza.consorziobacchiglione.it/dettagli/attodigara/6755/sostituzione-tubo-gasolio-su-distributore-mobile-n-3-installato-su-mezzo-targato-ep107xc.html"</f>
        <v>https://portaletrasparenza.consorziobacchiglione.it/dettagli/attodigara/6755/sostituzione-tubo-gasolio-su-distributore-mobile-n-3-installato-su-mezzo-targato-ep107xc.html</v>
      </c>
      <c r="U20" t="str">
        <f>"https://portaletrasparenza.consorziobacchiglione.it/download/attodigara/6755/63ac4575e12ea.PDF"</f>
        <v>https://portaletrasparenza.consorziobacchiglione.it/download/attodigara/6755/63ac4575e12ea.PDF</v>
      </c>
      <c r="V2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1" spans="1:22" x14ac:dyDescent="0.3">
      <c r="A21" t="str">
        <f>"Affidamento"</f>
        <v>Affidamento</v>
      </c>
      <c r="B21" t="str">
        <f>"Fornitura materiale vario per l'anno 2021 Bacino Sesta Presa e Delta Brenta"</f>
        <v>Fornitura materiale vario per l'anno 2021 Bacino Sesta Presa e Delta Brenta</v>
      </c>
      <c r="C21" t="str">
        <f>"ZDA3134A11"</f>
        <v>ZDA3134A11</v>
      </c>
      <c r="D21" t="str">
        <f>"06/04/2021"</f>
        <v>06/04/2021</v>
      </c>
      <c r="E21" t="str">
        <f>""</f>
        <v/>
      </c>
      <c r="F21" t="str">
        <f>""</f>
        <v/>
      </c>
      <c r="G21" t="str">
        <f>"6557.38"</f>
        <v>6557.38</v>
      </c>
      <c r="H21" t="str">
        <f>"Consorzio di bonifica Bacchiglione"</f>
        <v>Consorzio di bonifica Bacchiglione</v>
      </c>
      <c r="I21" t="str">
        <f>"92223390284"</f>
        <v>92223390284</v>
      </c>
      <c r="J21" t="str">
        <f>"23-AFFIDAMENTO DIRETTO"</f>
        <v>23-AFFIDAMENTO DIRETTO</v>
      </c>
      <c r="K21" t="str">
        <f>"01/04/2021"</f>
        <v>01/04/2021</v>
      </c>
      <c r="L21" t="str">
        <f>"21/09/2021"</f>
        <v>21/09/2021</v>
      </c>
      <c r="M21" t="str">
        <f>""</f>
        <v/>
      </c>
      <c r="N21" t="str">
        <f>"Ferramenta e cartoleria da Genny Via Vallona 65 - 35020 Conche di Codevigo"</f>
        <v>Ferramenta e cartoleria da Genny Via Vallona 65 - 35020 Conche di Codevigo</v>
      </c>
      <c r="O21" t="str">
        <f>"Ferramenta e cartoleria da Genny Via Vallona 65 - 35020 Conche di Codevigo"</f>
        <v>Ferramenta e cartoleria da Genny Via Vallona 65 - 35020 Conche di Codevigo</v>
      </c>
      <c r="P21" t="s">
        <v>333</v>
      </c>
      <c r="Q21" t="str">
        <f>""</f>
        <v/>
      </c>
      <c r="R21" t="str">
        <f>""</f>
        <v/>
      </c>
      <c r="S21" t="str">
        <f>""</f>
        <v/>
      </c>
      <c r="T21" t="str">
        <f>"https://portaletrasparenza.consorziobacchiglione.it/dettagli/attodigara/6762/fornitura-materiale-vario-per-l-anno-2021-bacino-sesta-presa-e-delta-brenta.html"</f>
        <v>https://portaletrasparenza.consorziobacchiglione.it/dettagli/attodigara/6762/fornitura-materiale-vario-per-l-anno-2021-bacino-sesta-presa-e-delta-brenta.html</v>
      </c>
      <c r="U21" t="str">
        <f>"https://portaletrasparenza.consorziobacchiglione.it/download/attodigara/6762/63ac45778d47d.PDF"</f>
        <v>https://portaletrasparenza.consorziobacchiglione.it/download/attodigara/6762/63ac45778d47d.PDF</v>
      </c>
      <c r="V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2" spans="1:22" x14ac:dyDescent="0.3">
      <c r="A22" t="str">
        <f>"Affidamento"</f>
        <v>Affidamento</v>
      </c>
      <c r="B22" t="str">
        <f>"Lavoro di pulizia serbatoio Adblue del mezzo targato: AKV863"</f>
        <v>Lavoro di pulizia serbatoio Adblue del mezzo targato: AKV863</v>
      </c>
      <c r="C22" t="str">
        <f>"Z6431348A8"</f>
        <v>Z6431348A8</v>
      </c>
      <c r="D22" t="str">
        <f>"06/04/2021"</f>
        <v>06/04/2021</v>
      </c>
      <c r="E22" t="str">
        <f>""</f>
        <v/>
      </c>
      <c r="F22" t="str">
        <f>""</f>
        <v/>
      </c>
      <c r="G22" t="str">
        <f>"139.98"</f>
        <v>139.98</v>
      </c>
      <c r="H22" t="str">
        <f>"Consorzio di bonifica Bacchiglione"</f>
        <v>Consorzio di bonifica Bacchiglione</v>
      </c>
      <c r="I22" t="str">
        <f>"92223390284"</f>
        <v>92223390284</v>
      </c>
      <c r="J22" t="str">
        <f>"23-AFFIDAMENTO DIRETTO"</f>
        <v>23-AFFIDAMENTO DIRETTO</v>
      </c>
      <c r="K22" t="str">
        <f>"01/04/2021"</f>
        <v>01/04/2021</v>
      </c>
      <c r="L22" t="str">
        <f>"30/04/2021"</f>
        <v>30/04/2021</v>
      </c>
      <c r="M22" t="str">
        <f>""</f>
        <v/>
      </c>
      <c r="N22" t="str">
        <f>"Energreen Via Pietre 73 36026 Cagnano di Pojana Maggiore VI"</f>
        <v>Energreen Via Pietre 73 36026 Cagnano di Pojana Maggiore VI</v>
      </c>
      <c r="O22" t="str">
        <f>"Energreen Via Pietre 73 36026 Cagnano di Pojana Maggiore VI"</f>
        <v>Energreen Via Pietre 73 36026 Cagnano di Pojana Maggiore VI</v>
      </c>
      <c r="P22" t="str">
        <f>"Z6431348A8: [139.98€ ]"</f>
        <v>Z6431348A8: [139.98€ ]</v>
      </c>
      <c r="Q22" t="str">
        <f>""</f>
        <v/>
      </c>
      <c r="R22" t="str">
        <f>""</f>
        <v/>
      </c>
      <c r="S22" t="str">
        <f>""</f>
        <v/>
      </c>
      <c r="T22" t="str">
        <f>"https://portaletrasparenza.consorziobacchiglione.it/dettagli/attodigara/6761/lavoro-di-pulizia-serbatoio-adblue-del-mezzo-targato-akv863.html"</f>
        <v>https://portaletrasparenza.consorziobacchiglione.it/dettagli/attodigara/6761/lavoro-di-pulizia-serbatoio-adblue-del-mezzo-targato-akv863.html</v>
      </c>
      <c r="U22" t="str">
        <f>"https://portaletrasparenza.consorziobacchiglione.it/download/attodigara/6761/63ac457754bcd.PDF"</f>
        <v>https://portaletrasparenza.consorziobacchiglione.it/download/attodigara/6761/63ac457754bcd.PDF</v>
      </c>
      <c r="V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3" spans="1:22" x14ac:dyDescent="0.3">
      <c r="A23" t="str">
        <f>"Affidamento"</f>
        <v>Affidamento</v>
      </c>
      <c r="B23" t="str">
        <f>"Fornitura di n.2 nuovi motori elettrici trifasi per Impianto Irriguo Sagredo"</f>
        <v>Fornitura di n.2 nuovi motori elettrici trifasi per Impianto Irriguo Sagredo</v>
      </c>
      <c r="C23" t="str">
        <f>"ZA13134773"</f>
        <v>ZA13134773</v>
      </c>
      <c r="D23" t="str">
        <f>"06/04/2021"</f>
        <v>06/04/2021</v>
      </c>
      <c r="E23" t="str">
        <f>""</f>
        <v/>
      </c>
      <c r="F23" t="str">
        <f>""</f>
        <v/>
      </c>
      <c r="G23" t="str">
        <f>"2694.00"</f>
        <v>2694.00</v>
      </c>
      <c r="H23" t="str">
        <f>"Consorzio di bonifica Bacchiglione"</f>
        <v>Consorzio di bonifica Bacchiglione</v>
      </c>
      <c r="I23" t="str">
        <f>"92223390284"</f>
        <v>92223390284</v>
      </c>
      <c r="J23" t="str">
        <f>"23-AFFIDAMENTO DIRETTO"</f>
        <v>23-AFFIDAMENTO DIRETTO</v>
      </c>
      <c r="K23" t="str">
        <f>"01/04/2021"</f>
        <v>01/04/2021</v>
      </c>
      <c r="L23" t="str">
        <f>"30/04/2021"</f>
        <v>30/04/2021</v>
      </c>
      <c r="M23" t="str">
        <f>""</f>
        <v/>
      </c>
      <c r="N23" t="str">
        <f>"Scarpa Sergio Elettromeccanica S.n.c. di Scarpa Paola E C. Via A. Vivaldi 7 35028 Piove di Sacco PD"</f>
        <v>Scarpa Sergio Elettromeccanica S.n.c. di Scarpa Paola E C. Via A. Vivaldi 7 35028 Piove di Sacco PD</v>
      </c>
      <c r="O23" t="str">
        <f>"Scarpa Sergio Elettromeccanica S.n.c. di Scarpa Paola E C. Via A. Vivaldi 7 35028 Piove di Sacco PD"</f>
        <v>Scarpa Sergio Elettromeccanica S.n.c. di Scarpa Paola E C. Via A. Vivaldi 7 35028 Piove di Sacco PD</v>
      </c>
      <c r="P23" t="str">
        <f>"ZA13134773: [2694.00€ ]"</f>
        <v>ZA13134773: [2694.00€ ]</v>
      </c>
      <c r="Q23" t="str">
        <f>""</f>
        <v/>
      </c>
      <c r="R23" t="str">
        <f>""</f>
        <v/>
      </c>
      <c r="S23" t="str">
        <f>""</f>
        <v/>
      </c>
      <c r="T23" t="str">
        <f>"https://portaletrasparenza.consorziobacchiglione.it/dettagli/attodigara/6760/fornitura-di-n-2-nuovi-motori-elettrici-trifasi-per-impianto-irriguo-sagredo.html"</f>
        <v>https://portaletrasparenza.consorziobacchiglione.it/dettagli/attodigara/6760/fornitura-di-n-2-nuovi-motori-elettrici-trifasi-per-impianto-irriguo-sagredo.html</v>
      </c>
      <c r="U23" t="str">
        <f>"https://portaletrasparenza.consorziobacchiglione.it/download/attodigara/6760/63ac45771355a.PDF"</f>
        <v>https://portaletrasparenza.consorziobacchiglione.it/download/attodigara/6760/63ac45771355a.PDF</v>
      </c>
      <c r="V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4" spans="1:22" x14ac:dyDescent="0.3">
      <c r="A24" t="str">
        <f>"Affidamento"</f>
        <v>Affidamento</v>
      </c>
      <c r="B24" t="str">
        <f>"Fornitura tavole in legno di Larice prismate lavorate maschio e femmina per Bacino Pratiarcati e Sesta Presa"</f>
        <v>Fornitura tavole in legno di Larice prismate lavorate maschio e femmina per Bacino Pratiarcati e Sesta Presa</v>
      </c>
      <c r="C24" t="str">
        <f>"ZDE313463E"</f>
        <v>ZDE313463E</v>
      </c>
      <c r="D24" t="str">
        <f>"06/04/2021"</f>
        <v>06/04/2021</v>
      </c>
      <c r="E24" t="str">
        <f>""</f>
        <v/>
      </c>
      <c r="F24" t="str">
        <f>""</f>
        <v/>
      </c>
      <c r="G24" t="str">
        <f>"4960.00"</f>
        <v>4960.00</v>
      </c>
      <c r="H24" t="str">
        <f>"Consorzio di bonifica Bacchiglione"</f>
        <v>Consorzio di bonifica Bacchiglione</v>
      </c>
      <c r="I24" t="str">
        <f>"92223390284"</f>
        <v>92223390284</v>
      </c>
      <c r="J24" t="str">
        <f>"23-AFFIDAMENTO DIRETTO"</f>
        <v>23-AFFIDAMENTO DIRETTO</v>
      </c>
      <c r="K24" t="str">
        <f>"01/04/2021"</f>
        <v>01/04/2021</v>
      </c>
      <c r="L24" t="str">
        <f>"29/04/2021"</f>
        <v>29/04/2021</v>
      </c>
      <c r="M24" t="str">
        <f>""</f>
        <v/>
      </c>
      <c r="N24" t="str">
        <f>"Falegnameria Ossari s.n.c. Via degli Artigiani, 4 - 35025 Cartura (PD)"</f>
        <v>Falegnameria Ossari s.n.c. Via degli Artigiani, 4 - 35025 Cartura (PD)</v>
      </c>
      <c r="O24" t="str">
        <f>"Falegnameria Ossari s.n.c. Via degli Artigiani, 4 - 35025 Cartura (PD)"</f>
        <v>Falegnameria Ossari s.n.c. Via degli Artigiani, 4 - 35025 Cartura (PD)</v>
      </c>
      <c r="P24" t="str">
        <f>"ZDE313463E: [4960.00€ ]"</f>
        <v>ZDE313463E: [4960.00€ ]</v>
      </c>
      <c r="Q24" t="str">
        <f>""</f>
        <v/>
      </c>
      <c r="R24" t="str">
        <f>""</f>
        <v/>
      </c>
      <c r="S24" t="str">
        <f>""</f>
        <v/>
      </c>
      <c r="T24" t="str">
        <f>"https://portaletrasparenza.consorziobacchiglione.it/dettagli/attodigara/6759/fornitura-tavole-in-legno-di-larice-prismate-lavorate-maschio-e-femmina-per-bacino-pratiarcati-e-sesta-presa.html"</f>
        <v>https://portaletrasparenza.consorziobacchiglione.it/dettagli/attodigara/6759/fornitura-tavole-in-legno-di-larice-prismate-lavorate-maschio-e-femmina-per-bacino-pratiarcati-e-sesta-presa.html</v>
      </c>
      <c r="U24" t="str">
        <f>"https://portaletrasparenza.consorziobacchiglione.it/download/attodigara/6759/63ac4576cee87.PDF"</f>
        <v>https://portaletrasparenza.consorziobacchiglione.it/download/attodigara/6759/63ac4576cee87.PDF</v>
      </c>
      <c r="V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5" spans="1:22" x14ac:dyDescent="0.3">
      <c r="A25" t="str">
        <f>"Affidamento"</f>
        <v>Affidamento</v>
      </c>
      <c r="B25" t="str">
        <f>"Sostituzione pompa idraulica principale più pistoncini manipolatore del mezzo targato: AGZ838"</f>
        <v>Sostituzione pompa idraulica principale più pistoncini manipolatore del mezzo targato: AGZ838</v>
      </c>
      <c r="C25" t="str">
        <f>"Z7A31344C8"</f>
        <v>Z7A31344C8</v>
      </c>
      <c r="D25" t="str">
        <f>"06/04/2021"</f>
        <v>06/04/2021</v>
      </c>
      <c r="E25" t="str">
        <f>""</f>
        <v/>
      </c>
      <c r="F25" t="str">
        <f>""</f>
        <v/>
      </c>
      <c r="G25" t="str">
        <f>"19604.56"</f>
        <v>19604.56</v>
      </c>
      <c r="H25" t="str">
        <f>"Consorzio di bonifica Bacchiglione"</f>
        <v>Consorzio di bonifica Bacchiglione</v>
      </c>
      <c r="I25" t="str">
        <f>"92223390284"</f>
        <v>92223390284</v>
      </c>
      <c r="J25" t="str">
        <f>"23-AFFIDAMENTO DIRETTO"</f>
        <v>23-AFFIDAMENTO DIRETTO</v>
      </c>
      <c r="K25" t="str">
        <f>"01/04/2021"</f>
        <v>01/04/2021</v>
      </c>
      <c r="L25" t="str">
        <f>"10/05/2021"</f>
        <v>10/05/2021</v>
      </c>
      <c r="M25" t="str">
        <f>""</f>
        <v/>
      </c>
      <c r="N25" t="str">
        <f>"Adriatica Commerciale Macchine s.r.l. Via dell'Artigianato 5 35020 Due Carrare PD"</f>
        <v>Adriatica Commerciale Macchine s.r.l. Via dell'Artigianato 5 35020 Due Carrare PD</v>
      </c>
      <c r="O25" t="str">
        <f>"Adriatica Commerciale Macchine s.r.l. Via dell'Artigianato 5 35020 Due Carrare PD"</f>
        <v>Adriatica Commerciale Macchine s.r.l. Via dell'Artigianato 5 35020 Due Carrare PD</v>
      </c>
      <c r="P25" t="str">
        <f>"Z7A31344C8: [19604.56€ ]"</f>
        <v>Z7A31344C8: [19604.56€ ]</v>
      </c>
      <c r="Q25" t="str">
        <f>""</f>
        <v/>
      </c>
      <c r="R25" t="str">
        <f>""</f>
        <v/>
      </c>
      <c r="S25" t="str">
        <f>""</f>
        <v/>
      </c>
      <c r="T25" t="str">
        <f>"https://portaletrasparenza.consorziobacchiglione.it/dettagli/attodigara/6758/sostituzione-pompa-idraulica-principale-piu-pistoncini-manipolatore-del-mezzo-targato-agz838.html"</f>
        <v>https://portaletrasparenza.consorziobacchiglione.it/dettagli/attodigara/6758/sostituzione-pompa-idraulica-principale-piu-pistoncini-manipolatore-del-mezzo-targato-agz838.html</v>
      </c>
      <c r="U25" t="str">
        <f>"https://portaletrasparenza.consorziobacchiglione.it/download/attodigara/6758/63ac457696527.PDF"</f>
        <v>https://portaletrasparenza.consorziobacchiglione.it/download/attodigara/6758/63ac457696527.PDF</v>
      </c>
      <c r="V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6" spans="1:22" x14ac:dyDescent="0.3">
      <c r="A26" t="str">
        <f>"Affidamento"</f>
        <v>Affidamento</v>
      </c>
      <c r="B26" t="str">
        <f>"Sostituzione barra posteriore completa di fanali del mezzo con targa: AJ206BM"</f>
        <v>Sostituzione barra posteriore completa di fanali del mezzo con targa: AJ206BM</v>
      </c>
      <c r="C26" t="str">
        <f>"Z58313427B"</f>
        <v>Z58313427B</v>
      </c>
      <c r="D26" t="str">
        <f>"06/04/2021"</f>
        <v>06/04/2021</v>
      </c>
      <c r="E26" t="str">
        <f>""</f>
        <v/>
      </c>
      <c r="F26" t="str">
        <f>""</f>
        <v/>
      </c>
      <c r="G26" t="str">
        <f>"593.70"</f>
        <v>593.70</v>
      </c>
      <c r="H26" t="str">
        <f>"Consorzio di bonifica Bacchiglione"</f>
        <v>Consorzio di bonifica Bacchiglione</v>
      </c>
      <c r="I26" t="str">
        <f>"92223390284"</f>
        <v>92223390284</v>
      </c>
      <c r="J26" t="str">
        <f>"23-AFFIDAMENTO DIRETTO"</f>
        <v>23-AFFIDAMENTO DIRETTO</v>
      </c>
      <c r="K26" t="str">
        <f>"01/04/2021"</f>
        <v>01/04/2021</v>
      </c>
      <c r="L26" t="str">
        <f>"30/04/2021"</f>
        <v>30/04/2021</v>
      </c>
      <c r="M26" t="str">
        <f>""</f>
        <v/>
      </c>
      <c r="N26" t="str">
        <f>"Officina Autotreni Carraro Franco srl Via Gelsi 79 35028 Piove di Sacco PD"</f>
        <v>Officina Autotreni Carraro Franco srl Via Gelsi 79 35028 Piove di Sacco PD</v>
      </c>
      <c r="O26" t="str">
        <f>"Officina Autotreni Carraro Franco srl Via Gelsi 79 35028 Piove di Sacco PD"</f>
        <v>Officina Autotreni Carraro Franco srl Via Gelsi 79 35028 Piove di Sacco PD</v>
      </c>
      <c r="P26" t="str">
        <f>"Z58313427B: [593.70€ ]"</f>
        <v>Z58313427B: [593.70€ ]</v>
      </c>
      <c r="Q26" t="str">
        <f>""</f>
        <v/>
      </c>
      <c r="R26" t="str">
        <f>""</f>
        <v/>
      </c>
      <c r="S26" t="str">
        <f>""</f>
        <v/>
      </c>
      <c r="T26" t="str">
        <f>"https://portaletrasparenza.consorziobacchiglione.it/dettagli/attodigara/6756/sostituzione-barra-posteriore-completa-di-fanali-del-mezzo-con-targa-aj206bm.html"</f>
        <v>https://portaletrasparenza.consorziobacchiglione.it/dettagli/attodigara/6756/sostituzione-barra-posteriore-completa-di-fanali-del-mezzo-con-targa-aj206bm.html</v>
      </c>
      <c r="U26" t="str">
        <f>"https://portaletrasparenza.consorziobacchiglione.it/download/attodigara/6756/63ac457625697.PDF"</f>
        <v>https://portaletrasparenza.consorziobacchiglione.it/download/attodigara/6756/63ac457625697.PDF</v>
      </c>
      <c r="V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7" spans="1:22" x14ac:dyDescent="0.3">
      <c r="A27" t="str">
        <f>"Affidamento"</f>
        <v>Affidamento</v>
      </c>
      <c r="B27" t="str">
        <f>"Fornitura n.2 fusti di olio idraulico Biodegradabile per mezzi targati: AHH573, AJR631"</f>
        <v>Fornitura n.2 fusti di olio idraulico Biodegradabile per mezzi targati: AHH573, AJR631</v>
      </c>
      <c r="C27" t="str">
        <f>"ZA83134374"</f>
        <v>ZA83134374</v>
      </c>
      <c r="D27" t="str">
        <f>"06/04/2021"</f>
        <v>06/04/2021</v>
      </c>
      <c r="E27" t="str">
        <f>""</f>
        <v/>
      </c>
      <c r="F27" t="str">
        <f>""</f>
        <v/>
      </c>
      <c r="G27" t="str">
        <f>"1394.00"</f>
        <v>1394.00</v>
      </c>
      <c r="H27" t="str">
        <f>"Consorzio di bonifica Bacchiglione"</f>
        <v>Consorzio di bonifica Bacchiglione</v>
      </c>
      <c r="I27" t="str">
        <f>"92223390284"</f>
        <v>92223390284</v>
      </c>
      <c r="J27" t="str">
        <f>"23-AFFIDAMENTO DIRETTO"</f>
        <v>23-AFFIDAMENTO DIRETTO</v>
      </c>
      <c r="K27" t="str">
        <f>"01/04/2021"</f>
        <v>01/04/2021</v>
      </c>
      <c r="L27" t="str">
        <f>"31/12/2021"</f>
        <v>31/12/2021</v>
      </c>
      <c r="M27" t="str">
        <f>""</f>
        <v/>
      </c>
      <c r="N27" t="str">
        <f>"A.F. Petroli S.p.A. Via Castelletto 13 35038 Torreglia PD"</f>
        <v>A.F. Petroli S.p.A. Via Castelletto 13 35038 Torreglia PD</v>
      </c>
      <c r="O27" t="str">
        <f>"A.F. Petroli S.p.A. Via Castelletto 13 35038 Torreglia PD"</f>
        <v>A.F. Petroli S.p.A. Via Castelletto 13 35038 Torreglia PD</v>
      </c>
      <c r="P27" t="str">
        <f>"ZA83134374: [1340.00€ ]"</f>
        <v>ZA83134374: [1340.00€ ]</v>
      </c>
      <c r="Q27" t="str">
        <f>""</f>
        <v/>
      </c>
      <c r="R27" t="str">
        <f>""</f>
        <v/>
      </c>
      <c r="S27" t="str">
        <f>""</f>
        <v/>
      </c>
      <c r="T27" t="str">
        <f>"https://portaletrasparenza.consorziobacchiglione.it/dettagli/attodigara/6757/fornitura-n-2-fusti-di-olio-idraulico-biodegradabile-per-mezzi-targati-ahh573-ajr631.html"</f>
        <v>https://portaletrasparenza.consorziobacchiglione.it/dettagli/attodigara/6757/fornitura-n-2-fusti-di-olio-idraulico-biodegradabile-per-mezzi-targati-ahh573-ajr631.html</v>
      </c>
      <c r="U27" t="str">
        <f>"https://portaletrasparenza.consorziobacchiglione.it/download/attodigara/6757/63ac45765dcc6.PDF"</f>
        <v>https://portaletrasparenza.consorziobacchiglione.it/download/attodigara/6757/63ac45765dcc6.PDF</v>
      </c>
      <c r="V27">
        <f>(SUBSTITUTE(Tabella1[[#This Row],[Importo di aggiudicazione]],".",","))-(SUBSTITUTE(  SUBSTITUTE(          SUBSTITUTE(Tabella1[[#This Row],[Dettaglio somme liquidate]],Tabella1[[#This Row],[CIG]]&amp;": [",""),"€ ]",""),".",","))</f>
        <v>54</v>
      </c>
    </row>
    <row r="28" spans="1:22" x14ac:dyDescent="0.3">
      <c r="A28" t="str">
        <f>"Affidamento"</f>
        <v>Affidamento</v>
      </c>
      <c r="B28" t="str">
        <f>"Sollevamento e posa porte Vinciane zona Conche di Codevigo."</f>
        <v>Sollevamento e posa porte Vinciane zona Conche di Codevigo.</v>
      </c>
      <c r="C28" t="str">
        <f>"ZC61A25DED"</f>
        <v>ZC61A25DED</v>
      </c>
      <c r="D28" t="str">
        <f>"04/11/2021"</f>
        <v>04/11/2021</v>
      </c>
      <c r="E28" t="str">
        <f>""</f>
        <v/>
      </c>
      <c r="F28" t="str">
        <f>""</f>
        <v/>
      </c>
      <c r="G28" t="str">
        <f>"5350.00"</f>
        <v>5350.00</v>
      </c>
      <c r="H28" t="str">
        <f>"Consorzio di bonifica Bacchiglione"</f>
        <v>Consorzio di bonifica Bacchiglione</v>
      </c>
      <c r="I28" t="str">
        <f>"92223390284"</f>
        <v>92223390284</v>
      </c>
      <c r="J28" t="str">
        <f>"23-AFFIDAMENTO DIRETTO"</f>
        <v>23-AFFIDAMENTO DIRETTO</v>
      </c>
      <c r="K28" t="str">
        <f>"01/06/2021"</f>
        <v>01/06/2021</v>
      </c>
      <c r="L28" t="str">
        <f>"11/07/2021"</f>
        <v>11/07/2021</v>
      </c>
      <c r="M28" t="str">
        <f>""</f>
        <v/>
      </c>
      <c r="N28" t="str">
        <f>"Aggio Egidio Via Chiusure 47 35020 Maserà di Padova"</f>
        <v>Aggio Egidio Via Chiusure 47 35020 Maserà di Padova</v>
      </c>
      <c r="O28" t="str">
        <f>"Aggio Egidio Via Chiusure 47 35020 Maserà di Padova"</f>
        <v>Aggio Egidio Via Chiusure 47 35020 Maserà di Padova</v>
      </c>
      <c r="P28" t="str">
        <f>"ZC61A25DED: [5350.00€ ]"</f>
        <v>ZC61A25DED: [5350.00€ ]</v>
      </c>
      <c r="Q28" t="str">
        <f>""</f>
        <v/>
      </c>
      <c r="R28" t="str">
        <f>""</f>
        <v/>
      </c>
      <c r="S28" t="str">
        <f>""</f>
        <v/>
      </c>
      <c r="T28" t="str">
        <f>"https://portaletrasparenza.consorziobacchiglione.it/dettagli/attodigara/494/sollevamento-e-posa-porte-vinciane-zona-conche-di-codevigo.html"</f>
        <v>https://portaletrasparenza.consorziobacchiglione.it/dettagli/attodigara/494/sollevamento-e-posa-porte-vinciane-zona-conche-di-codevigo.html</v>
      </c>
      <c r="U28" t="str">
        <f>""</f>
        <v/>
      </c>
      <c r="V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9" spans="1:22" x14ac:dyDescent="0.3">
      <c r="A29" t="str">
        <f>"Affidamento"</f>
        <v>Affidamento</v>
      </c>
      <c r="B29" t="str">
        <f>"Fornitura sensore di misura di livello a battente idrostatico per Idrovora Pavariane Nuova."</f>
        <v>Fornitura sensore di misura di livello a battente idrostatico per Idrovora Pavariane Nuova.</v>
      </c>
      <c r="C29" t="str">
        <f>"ZA41A254C3"</f>
        <v>ZA41A254C3</v>
      </c>
      <c r="D29" t="str">
        <f>"04/11/2021"</f>
        <v>04/11/2021</v>
      </c>
      <c r="E29" t="str">
        <f>""</f>
        <v/>
      </c>
      <c r="F29" t="str">
        <f>""</f>
        <v/>
      </c>
      <c r="G29" t="str">
        <f>"1196.18"</f>
        <v>1196.18</v>
      </c>
      <c r="H29" t="str">
        <f>"Consorzio di bonifica Bacchiglione"</f>
        <v>Consorzio di bonifica Bacchiglione</v>
      </c>
      <c r="I29" t="str">
        <f>"92223390284"</f>
        <v>92223390284</v>
      </c>
      <c r="J29" t="str">
        <f>"23-AFFIDAMENTO DIRETTO"</f>
        <v>23-AFFIDAMENTO DIRETTO</v>
      </c>
      <c r="K29" t="str">
        <f>"01/06/2021"</f>
        <v>01/06/2021</v>
      </c>
      <c r="L29" t="str">
        <f>"01/08/2021"</f>
        <v>01/08/2021</v>
      </c>
      <c r="M29" t="str">
        <f>""</f>
        <v/>
      </c>
      <c r="N29" t="str">
        <f>"Endress + Hauser Italia S.p.A. Via Fratelli di Dio 7 20063 Cernusco S-N MI"</f>
        <v>Endress + Hauser Italia S.p.A. Via Fratelli di Dio 7 20063 Cernusco S-N MI</v>
      </c>
      <c r="O29" t="str">
        <f>"Endress + Hauser Italia S.p.A. Via Fratelli di Dio 7 20063 Cernusco S-N MI"</f>
        <v>Endress + Hauser Italia S.p.A. Via Fratelli di Dio 7 20063 Cernusco S-N MI</v>
      </c>
      <c r="P29" t="str">
        <f>"ZA41A254C3: [1196.18€ ]"</f>
        <v>ZA41A254C3: [1196.18€ ]</v>
      </c>
      <c r="Q29" t="str">
        <f>""</f>
        <v/>
      </c>
      <c r="R29" t="str">
        <f>""</f>
        <v/>
      </c>
      <c r="S29" t="str">
        <f>""</f>
        <v/>
      </c>
      <c r="T29" t="str">
        <f>"https://portaletrasparenza.consorziobacchiglione.it/dettagli/attodigara/493/fornitura-sensore-di-misura-di-livello-a-battente-idrostatico-per-idrovora-pavariane-nuova.html"</f>
        <v>https://portaletrasparenza.consorziobacchiglione.it/dettagli/attodigara/493/fornitura-sensore-di-misura-di-livello-a-battente-idrostatico-per-idrovora-pavariane-nuova.html</v>
      </c>
      <c r="U29" t="str">
        <f>""</f>
        <v/>
      </c>
      <c r="V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0" spans="1:22" x14ac:dyDescent="0.3">
      <c r="A30" t="str">
        <f>"Affidamento"</f>
        <v>Affidamento</v>
      </c>
      <c r="B30" t="str">
        <f>"Incarico di consulenza strutturale - Processo ID 021-16."</f>
        <v>Incarico di consulenza strutturale - Processo ID 021-16.</v>
      </c>
      <c r="C30" t="str">
        <f>"Z2C1A5867C"</f>
        <v>Z2C1A5867C</v>
      </c>
      <c r="D30" t="str">
        <f>"04/11/2021"</f>
        <v>04/11/2021</v>
      </c>
      <c r="E30" t="str">
        <f>""</f>
        <v/>
      </c>
      <c r="F30" t="str">
        <f>""</f>
        <v/>
      </c>
      <c r="G30" t="str">
        <f>"1872.00"</f>
        <v>1872.00</v>
      </c>
      <c r="H30" t="str">
        <f>"Consorzio di bonifica Bacchiglione"</f>
        <v>Consorzio di bonifica Bacchiglione</v>
      </c>
      <c r="I30" t="str">
        <f>"92223390284"</f>
        <v>92223390284</v>
      </c>
      <c r="J30" t="str">
        <f>"23-AFFIDAMENTO DIRETTO"</f>
        <v>23-AFFIDAMENTO DIRETTO</v>
      </c>
      <c r="K30" t="str">
        <f>"01/06/2021"</f>
        <v>01/06/2021</v>
      </c>
      <c r="L30" t="str">
        <f>"26/08/2021"</f>
        <v>26/08/2021</v>
      </c>
      <c r="M30" t="str">
        <f>""</f>
        <v/>
      </c>
      <c r="N30" t="str">
        <f>"SIST - Studio di Ingegneria Strutturale Organte E Bortot"</f>
        <v>SIST - Studio di Ingegneria Strutturale Organte E Bortot</v>
      </c>
      <c r="O30" t="str">
        <f>"SIST - Studio di Ingegneria Strutturale Organte E Bortot"</f>
        <v>SIST - Studio di Ingegneria Strutturale Organte E Bortot</v>
      </c>
      <c r="P30" t="str">
        <f>"Z2C1A5867C: [1872.00€ ]"</f>
        <v>Z2C1A5867C: [1872.00€ ]</v>
      </c>
      <c r="Q30" t="str">
        <f>""</f>
        <v/>
      </c>
      <c r="R30" t="str">
        <f>""</f>
        <v/>
      </c>
      <c r="S30" t="str">
        <f>""</f>
        <v/>
      </c>
      <c r="T30" t="str">
        <f>"https://portaletrasparenza.consorziobacchiglione.it/dettagli/attodigara/492/incarico-di-consulenza-strutturale-processo-id-021-16.html"</f>
        <v>https://portaletrasparenza.consorziobacchiglione.it/dettagli/attodigara/492/incarico-di-consulenza-strutturale-processo-id-021-16.html</v>
      </c>
      <c r="U30" t="str">
        <f>""</f>
        <v/>
      </c>
      <c r="V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1" spans="1:22" x14ac:dyDescent="0.3">
      <c r="A31" t="str">
        <f>"Affidamento"</f>
        <v>Affidamento</v>
      </c>
      <c r="B31" t="str">
        <f>"Affidamento fornitura stampante etichette per protocollo informatico."</f>
        <v>Affidamento fornitura stampante etichette per protocollo informatico.</v>
      </c>
      <c r="C31" t="str">
        <f>"Z991A252C7"</f>
        <v>Z991A252C7</v>
      </c>
      <c r="D31" t="str">
        <f>"04/11/2021"</f>
        <v>04/11/2021</v>
      </c>
      <c r="E31" t="str">
        <f>""</f>
        <v/>
      </c>
      <c r="F31" t="str">
        <f>""</f>
        <v/>
      </c>
      <c r="G31" t="str">
        <f>"315.00"</f>
        <v>315.00</v>
      </c>
      <c r="H31" t="str">
        <f>"Consorzio di bonifica Bacchiglione"</f>
        <v>Consorzio di bonifica Bacchiglione</v>
      </c>
      <c r="I31" t="str">
        <f>"92223390284"</f>
        <v>92223390284</v>
      </c>
      <c r="J31" t="str">
        <f>"23-AFFIDAMENTO DIRETTO"</f>
        <v>23-AFFIDAMENTO DIRETTO</v>
      </c>
      <c r="K31" t="str">
        <f>"01/06/2021"</f>
        <v>01/06/2021</v>
      </c>
      <c r="L31" t="str">
        <f>"18/08/2021"</f>
        <v>18/08/2021</v>
      </c>
      <c r="M31" t="str">
        <f>""</f>
        <v/>
      </c>
      <c r="N31" t="str">
        <f>"DATAGRAPH S.R.L."</f>
        <v>DATAGRAPH S.R.L.</v>
      </c>
      <c r="O31" t="str">
        <f>"DATAGRAPH S.R.L."</f>
        <v>DATAGRAPH S.R.L.</v>
      </c>
      <c r="P31" t="str">
        <f>"Z991A252C7: [315.00€ ]"</f>
        <v>Z991A252C7: [315.00€ ]</v>
      </c>
      <c r="Q31" t="str">
        <f>""</f>
        <v/>
      </c>
      <c r="R31" t="str">
        <f>""</f>
        <v/>
      </c>
      <c r="S31" t="str">
        <f>""</f>
        <v/>
      </c>
      <c r="T31" t="str">
        <f>"https://portaletrasparenza.consorziobacchiglione.it/dettagli/attodigara/491/affidamento-fornitura-stampante-etichette-per-protocollo-informatico.html"</f>
        <v>https://portaletrasparenza.consorziobacchiglione.it/dettagli/attodigara/491/affidamento-fornitura-stampante-etichette-per-protocollo-informatico.html</v>
      </c>
      <c r="U31" t="str">
        <f>""</f>
        <v/>
      </c>
      <c r="V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2" spans="1:22" x14ac:dyDescent="0.3">
      <c r="A32" t="str">
        <f>"Affidamento"</f>
        <v>Affidamento</v>
      </c>
      <c r="B32" t="str">
        <f>"Service tecnico per progetto n° 2 sostegni sullo scolo Schilla - Processo ID 018-20."</f>
        <v>Service tecnico per progetto n° 2 sostegni sullo scolo Schilla - Processo ID 018-20.</v>
      </c>
      <c r="C32" t="str">
        <f>"ZF831F6B74"</f>
        <v>ZF831F6B74</v>
      </c>
      <c r="D32" t="str">
        <f>"15/06/2021"</f>
        <v>15/06/2021</v>
      </c>
      <c r="E32" t="str">
        <f>""</f>
        <v/>
      </c>
      <c r="F32" t="str">
        <f>""</f>
        <v/>
      </c>
      <c r="G32" t="str">
        <f>"11440.00"</f>
        <v>11440.00</v>
      </c>
      <c r="H32" t="str">
        <f>"Consorzio di bonifica Bacchiglione"</f>
        <v>Consorzio di bonifica Bacchiglione</v>
      </c>
      <c r="I32" t="str">
        <f>"92223390284"</f>
        <v>92223390284</v>
      </c>
      <c r="J32" t="str">
        <f>"23-AFFIDAMENTO DIRETTO"</f>
        <v>23-AFFIDAMENTO DIRETTO</v>
      </c>
      <c r="K32" t="str">
        <f>"01/06/2021"</f>
        <v>01/06/2021</v>
      </c>
      <c r="L32" t="str">
        <f>"31/12/2021"</f>
        <v>31/12/2021</v>
      </c>
      <c r="M32" t="str">
        <f>""</f>
        <v/>
      </c>
      <c r="N32" t="str">
        <f>"Ing. Andrea Tramonte"</f>
        <v>Ing. Andrea Tramonte</v>
      </c>
      <c r="O32" t="str">
        <f>"Ing. Andrea Tramonte"</f>
        <v>Ing. Andrea Tramonte</v>
      </c>
      <c r="P32" t="str">
        <f>"ZF831F6B74: [3016.00€ ]"</f>
        <v>ZF831F6B74: [3016.00€ ]</v>
      </c>
      <c r="Q32" t="str">
        <f>""</f>
        <v/>
      </c>
      <c r="R32" t="str">
        <f>""</f>
        <v/>
      </c>
      <c r="S32" t="str">
        <f>""</f>
        <v/>
      </c>
      <c r="T32" t="str">
        <f>"https://portaletrasparenza.consorziobacchiglione.it/dettagli/attodigara/6916/service-tecnico-per-progetto-n-2-sostegni-sullo-scolo-schilla-processo-id-018-20.html"</f>
        <v>https://portaletrasparenza.consorziobacchiglione.it/dettagli/attodigara/6916/service-tecnico-per-progetto-n-2-sostegni-sullo-scolo-schilla-processo-id-018-20.html</v>
      </c>
      <c r="U32" t="str">
        <f>"https://portaletrasparenza.consorziobacchiglione.it/download/attodigara/6916/63ac459a5a512.PDF"</f>
        <v>https://portaletrasparenza.consorziobacchiglione.it/download/attodigara/6916/63ac459a5a512.PDF</v>
      </c>
      <c r="V32">
        <f>(SUBSTITUTE(Tabella1[[#This Row],[Importo di aggiudicazione]],".",","))-(SUBSTITUTE(  SUBSTITUTE(          SUBSTITUTE(Tabella1[[#This Row],[Dettaglio somme liquidate]],Tabella1[[#This Row],[CIG]]&amp;": [",""),"€ ]",""),".",","))</f>
        <v>8424</v>
      </c>
    </row>
    <row r="33" spans="1:22" x14ac:dyDescent="0.3">
      <c r="A33" t="str">
        <f>"Affidamento"</f>
        <v>Affidamento</v>
      </c>
      <c r="B33" t="str">
        <f>"Lavori di pulizia scoli consorziali a Conche di Codevigo."</f>
        <v>Lavori di pulizia scoli consorziali a Conche di Codevigo.</v>
      </c>
      <c r="C33" t="str">
        <f>"Z541A7DD8C"</f>
        <v>Z541A7DD8C</v>
      </c>
      <c r="D33" t="str">
        <f>"04/11/2021"</f>
        <v>04/11/2021</v>
      </c>
      <c r="E33" t="str">
        <f>""</f>
        <v/>
      </c>
      <c r="F33" t="str">
        <f>""</f>
        <v/>
      </c>
      <c r="G33" t="str">
        <f>"5880.00"</f>
        <v>5880.00</v>
      </c>
      <c r="H33" t="str">
        <f>"Consorzio di bonifica Bacchiglione"</f>
        <v>Consorzio di bonifica Bacchiglione</v>
      </c>
      <c r="I33" t="str">
        <f>"92223390284"</f>
        <v>92223390284</v>
      </c>
      <c r="J33" t="str">
        <f>"23-AFFIDAMENTO DIRETTO"</f>
        <v>23-AFFIDAMENTO DIRETTO</v>
      </c>
      <c r="K33" t="str">
        <f>"01/07/2021"</f>
        <v>01/07/2021</v>
      </c>
      <c r="L33" t="str">
        <f>"01/08/2021"</f>
        <v>01/08/2021</v>
      </c>
      <c r="M33" t="str">
        <f>""</f>
        <v/>
      </c>
      <c r="N33" t="str">
        <f>"Viale Valter Via 1° Maggio 124 30010 Campagna Lupia VE"</f>
        <v>Viale Valter Via 1° Maggio 124 30010 Campagna Lupia VE</v>
      </c>
      <c r="O33" t="str">
        <f>"Viale Valter Via 1° Maggio 124 30010 Campagna Lupia VE"</f>
        <v>Viale Valter Via 1° Maggio 124 30010 Campagna Lupia VE</v>
      </c>
      <c r="P33" t="str">
        <f>"Z541A7DD8C: [5880.00€ ]"</f>
        <v>Z541A7DD8C: [5880.00€ ]</v>
      </c>
      <c r="Q33" t="str">
        <f>""</f>
        <v/>
      </c>
      <c r="R33" t="str">
        <f>""</f>
        <v/>
      </c>
      <c r="S33" t="str">
        <f>""</f>
        <v/>
      </c>
      <c r="T33" t="str">
        <f>"https://portaletrasparenza.consorziobacchiglione.it/dettagli/attodigara/557/lavori-di-pulizia-scoli-consorziali-a-conche-di-codevigo.html"</f>
        <v>https://portaletrasparenza.consorziobacchiglione.it/dettagli/attodigara/557/lavori-di-pulizia-scoli-consorziali-a-conche-di-codevigo.html</v>
      </c>
      <c r="U33" t="str">
        <f>""</f>
        <v/>
      </c>
      <c r="V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4" spans="1:22" x14ac:dyDescent="0.3">
      <c r="A34" t="str">
        <f>"Affidamento"</f>
        <v>Affidamento</v>
      </c>
      <c r="B34" t="str">
        <f>"Nuova attivazione utenza elettrica 3 kW BT monofase in Via Magenta a Ponte San Nicolò."</f>
        <v>Nuova attivazione utenza elettrica 3 kW BT monofase in Via Magenta a Ponte San Nicolò.</v>
      </c>
      <c r="C34" t="str">
        <f>"Z8E1A7DD7E"</f>
        <v>Z8E1A7DD7E</v>
      </c>
      <c r="D34" t="str">
        <f>"04/11/2021"</f>
        <v>04/11/2021</v>
      </c>
      <c r="E34" t="str">
        <f>""</f>
        <v/>
      </c>
      <c r="F34" t="str">
        <f>""</f>
        <v/>
      </c>
      <c r="G34" t="str">
        <f>"440.40"</f>
        <v>440.40</v>
      </c>
      <c r="H34" t="str">
        <f>"Consorzio di bonifica Bacchiglione"</f>
        <v>Consorzio di bonifica Bacchiglione</v>
      </c>
      <c r="I34" t="str">
        <f>"92223390284"</f>
        <v>92223390284</v>
      </c>
      <c r="J34" t="str">
        <f>"23-AFFIDAMENTO DIRETTO"</f>
        <v>23-AFFIDAMENTO DIRETTO</v>
      </c>
      <c r="K34" t="str">
        <f>"01/07/2021"</f>
        <v>01/07/2021</v>
      </c>
      <c r="L34" t="str">
        <f>"25/07/2021"</f>
        <v>25/07/2021</v>
      </c>
      <c r="M34" t="str">
        <f>""</f>
        <v/>
      </c>
      <c r="N34" t="str">
        <f>"AGSM Energia S.p.A. Lungadige Galtarossa 8 37133 Verona"</f>
        <v>AGSM Energia S.p.A. Lungadige Galtarossa 8 37133 Verona</v>
      </c>
      <c r="O34" t="str">
        <f>"AGSM Energia S.p.A. Lungadige Galtarossa 8 37133 Verona"</f>
        <v>AGSM Energia S.p.A. Lungadige Galtarossa 8 37133 Verona</v>
      </c>
      <c r="P34" t="str">
        <f>"Z8E1A7DD7E: [440.40€ ]"</f>
        <v>Z8E1A7DD7E: [440.40€ ]</v>
      </c>
      <c r="Q34" t="str">
        <f>""</f>
        <v/>
      </c>
      <c r="R34" t="str">
        <f>""</f>
        <v/>
      </c>
      <c r="S34" t="str">
        <f>""</f>
        <v/>
      </c>
      <c r="T34" t="str">
        <f>"https://portaletrasparenza.consorziobacchiglione.it/dettagli/attodigara/556/nuova-attivazione-utenza-elettrica-3-kw-bt-monofase-in-via-magenta-a-ponte-san-nicolo.html"</f>
        <v>https://portaletrasparenza.consorziobacchiglione.it/dettagli/attodigara/556/nuova-attivazione-utenza-elettrica-3-kw-bt-monofase-in-via-magenta-a-ponte-san-nicolo.html</v>
      </c>
      <c r="U34" t="str">
        <f>""</f>
        <v/>
      </c>
      <c r="V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5" spans="1:22" x14ac:dyDescent="0.3">
      <c r="A35" t="str">
        <f>"Affidamento"</f>
        <v>Affidamento</v>
      </c>
      <c r="B35" t="str">
        <f>"Fornitura n 10 travi per realizzazione fermaroste su scolo Orsaro"</f>
        <v>Fornitura n 10 travi per realizzazione fermaroste su scolo Orsaro</v>
      </c>
      <c r="C35" t="str">
        <f>"ZE11A7D869"</f>
        <v>ZE11A7D869</v>
      </c>
      <c r="D35" t="str">
        <f>"04/11/2021"</f>
        <v>04/11/2021</v>
      </c>
      <c r="E35" t="str">
        <f>""</f>
        <v/>
      </c>
      <c r="F35" t="str">
        <f>""</f>
        <v/>
      </c>
      <c r="G35" t="str">
        <f>"935.00"</f>
        <v>935.00</v>
      </c>
      <c r="H35" t="str">
        <f>"Consorzio di bonifica Bacchiglione"</f>
        <v>Consorzio di bonifica Bacchiglione</v>
      </c>
      <c r="I35" t="str">
        <f>"92223390284"</f>
        <v>92223390284</v>
      </c>
      <c r="J35" t="str">
        <f>"23-AFFIDAMENTO DIRETTO"</f>
        <v>23-AFFIDAMENTO DIRETTO</v>
      </c>
      <c r="K35" t="str">
        <f>"01/07/2021"</f>
        <v>01/07/2021</v>
      </c>
      <c r="L35" t="str">
        <f>"10/08/2021"</f>
        <v>10/08/2021</v>
      </c>
      <c r="M35" t="str">
        <f>""</f>
        <v/>
      </c>
      <c r="N35" t="str">
        <f>"Idronord s.r.l. Via delle Industrie 3C 30036 Santa Maria Di Sala VE"</f>
        <v>Idronord s.r.l. Via delle Industrie 3C 30036 Santa Maria Di Sala VE</v>
      </c>
      <c r="O35" t="str">
        <f>"Idronord s.r.l. Via delle Industrie 3C 30036 Santa Maria Di Sala VE"</f>
        <v>Idronord s.r.l. Via delle Industrie 3C 30036 Santa Maria Di Sala VE</v>
      </c>
      <c r="P35" t="str">
        <f>"ZE11A7D869: [935.00€ ]"</f>
        <v>ZE11A7D869: [935.00€ ]</v>
      </c>
      <c r="Q35" t="str">
        <f>""</f>
        <v/>
      </c>
      <c r="R35" t="str">
        <f>""</f>
        <v/>
      </c>
      <c r="S35" t="str">
        <f>""</f>
        <v/>
      </c>
      <c r="T35" t="str">
        <f>"https://portaletrasparenza.consorziobacchiglione.it/dettagli/attodigara/555/fornitura-n-10-travi-per-realizzazione-fermaroste-su-scolo-orsaro.html"</f>
        <v>https://portaletrasparenza.consorziobacchiglione.it/dettagli/attodigara/555/fornitura-n-10-travi-per-realizzazione-fermaroste-su-scolo-orsaro.html</v>
      </c>
      <c r="U35" t="str">
        <f>""</f>
        <v/>
      </c>
      <c r="V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6" spans="1:22" x14ac:dyDescent="0.3">
      <c r="A36" t="str">
        <f>"Affidamento"</f>
        <v>Affidamento</v>
      </c>
      <c r="B36" t="str">
        <f>"Manutenzione e riparazione mezzo con targa: PDAF497"</f>
        <v>Manutenzione e riparazione mezzo con targa: PDAF497</v>
      </c>
      <c r="C36" t="str">
        <f>"Z861A7D37E"</f>
        <v>Z861A7D37E</v>
      </c>
      <c r="D36" t="str">
        <f>"04/11/2021"</f>
        <v>04/11/2021</v>
      </c>
      <c r="E36" t="str">
        <f>""</f>
        <v/>
      </c>
      <c r="F36" t="str">
        <f>""</f>
        <v/>
      </c>
      <c r="G36" t="str">
        <f>"583.80"</f>
        <v>583.80</v>
      </c>
      <c r="H36" t="str">
        <f>"Consorzio di bonifica Bacchiglione"</f>
        <v>Consorzio di bonifica Bacchiglione</v>
      </c>
      <c r="I36" t="str">
        <f>"92223390284"</f>
        <v>92223390284</v>
      </c>
      <c r="J36" t="str">
        <f>"23-AFFIDAMENTO DIRETTO"</f>
        <v>23-AFFIDAMENTO DIRETTO</v>
      </c>
      <c r="K36" t="str">
        <f>"01/07/2021"</f>
        <v>01/07/2021</v>
      </c>
      <c r="L36" t="str">
        <f>"18/07/2021"</f>
        <v>18/07/2021</v>
      </c>
      <c r="M36" t="str">
        <f>""</f>
        <v/>
      </c>
      <c r="N36" t="str">
        <f>"Elettrodiesel Peruzzo s.r.l. Via Tevere 30 35135 Padova"</f>
        <v>Elettrodiesel Peruzzo s.r.l. Via Tevere 30 35135 Padova</v>
      </c>
      <c r="O36" t="str">
        <f>"Elettrodiesel Peruzzo s.r.l. Via Tevere 30 35135 Padova"</f>
        <v>Elettrodiesel Peruzzo s.r.l. Via Tevere 30 35135 Padova</v>
      </c>
      <c r="P36" t="str">
        <f>"Z861A7D37E: [583.80€ ]"</f>
        <v>Z861A7D37E: [583.80€ ]</v>
      </c>
      <c r="Q36" t="str">
        <f>""</f>
        <v/>
      </c>
      <c r="R36" t="str">
        <f>""</f>
        <v/>
      </c>
      <c r="S36" t="str">
        <f>""</f>
        <v/>
      </c>
      <c r="T36" t="str">
        <f>"https://portaletrasparenza.consorziobacchiglione.it/dettagli/attodigara/554/manutenzione-e-riparazione-mezzo-con-targa-pdaf497.html"</f>
        <v>https://portaletrasparenza.consorziobacchiglione.it/dettagli/attodigara/554/manutenzione-e-riparazione-mezzo-con-targa-pdaf497.html</v>
      </c>
      <c r="U36" t="str">
        <f>""</f>
        <v/>
      </c>
      <c r="V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7" spans="1:22" x14ac:dyDescent="0.3">
      <c r="A37" t="str">
        <f>"Affidamento"</f>
        <v>Affidamento</v>
      </c>
      <c r="B37" t="str">
        <f>"Fornitura materiale di ferramenta vario per Bacino Pratiarcati."</f>
        <v>Fornitura materiale di ferramenta vario per Bacino Pratiarcati.</v>
      </c>
      <c r="C37" t="str">
        <f>"ZBE1A7D0F0"</f>
        <v>ZBE1A7D0F0</v>
      </c>
      <c r="D37" t="str">
        <f>"04/11/2021"</f>
        <v>04/11/2021</v>
      </c>
      <c r="E37" t="str">
        <f>""</f>
        <v/>
      </c>
      <c r="F37" t="str">
        <f>""</f>
        <v/>
      </c>
      <c r="G37" t="str">
        <f>"3131.74"</f>
        <v>3131.74</v>
      </c>
      <c r="H37" t="str">
        <f>"Consorzio di bonifica Bacchiglione"</f>
        <v>Consorzio di bonifica Bacchiglione</v>
      </c>
      <c r="I37" t="str">
        <f>"92223390284"</f>
        <v>92223390284</v>
      </c>
      <c r="J37" t="str">
        <f>"23-AFFIDAMENTO DIRETTO"</f>
        <v>23-AFFIDAMENTO DIRETTO</v>
      </c>
      <c r="K37" t="str">
        <f>"01/07/2021"</f>
        <v>01/07/2021</v>
      </c>
      <c r="L37" t="str">
        <f>"26/08/2021"</f>
        <v>26/08/2021</v>
      </c>
      <c r="M37" t="str">
        <f>""</f>
        <v/>
      </c>
      <c r="N37" t="str">
        <f>"Erre Emme s.n.c. Via Cavour 27 35020 Casalserugo PD"</f>
        <v>Erre Emme s.n.c. Via Cavour 27 35020 Casalserugo PD</v>
      </c>
      <c r="O37" t="str">
        <f>"Erre Emme s.n.c. Via Cavour 27 35020 Casalserugo PD"</f>
        <v>Erre Emme s.n.c. Via Cavour 27 35020 Casalserugo PD</v>
      </c>
      <c r="P37" t="str">
        <f>"ZBE1A7D0F0: [3131.74€ ]"</f>
        <v>ZBE1A7D0F0: [3131.74€ ]</v>
      </c>
      <c r="Q37" t="str">
        <f>""</f>
        <v/>
      </c>
      <c r="R37" t="str">
        <f>""</f>
        <v/>
      </c>
      <c r="S37" t="str">
        <f>""</f>
        <v/>
      </c>
      <c r="T37" t="str">
        <f>"https://portaletrasparenza.consorziobacchiglione.it/dettagli/attodigara/553/fornitura-materiale-di-ferramenta-vario-per-bacino-pratiarcati.html"</f>
        <v>https://portaletrasparenza.consorziobacchiglione.it/dettagli/attodigara/553/fornitura-materiale-di-ferramenta-vario-per-bacino-pratiarcati.html</v>
      </c>
      <c r="U37" t="str">
        <f>""</f>
        <v/>
      </c>
      <c r="V3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8" spans="1:22" x14ac:dyDescent="0.3">
      <c r="A38" t="str">
        <f>"Affidamento"</f>
        <v>Affidamento</v>
      </c>
      <c r="B38" t="str">
        <f>"Verifica di tracciamenti topografici in campagna - Processo ID 004-21."</f>
        <v>Verifica di tracciamenti topografici in campagna - Processo ID 004-21.</v>
      </c>
      <c r="C38" t="str">
        <f>"Z9331EFFD5"</f>
        <v>Z9331EFFD5</v>
      </c>
      <c r="D38" t="str">
        <f>"02/07/2021"</f>
        <v>02/07/2021</v>
      </c>
      <c r="E38" t="str">
        <f>""</f>
        <v/>
      </c>
      <c r="F38" t="str">
        <f>""</f>
        <v/>
      </c>
      <c r="G38" t="str">
        <f>"525.00"</f>
        <v>525.00</v>
      </c>
      <c r="H38" t="str">
        <f>"Consorzio di bonifica Bacchiglione"</f>
        <v>Consorzio di bonifica Bacchiglione</v>
      </c>
      <c r="I38" t="str">
        <f>"92223390284"</f>
        <v>92223390284</v>
      </c>
      <c r="J38" t="str">
        <f>"23-AFFIDAMENTO DIRETTO"</f>
        <v>23-AFFIDAMENTO DIRETTO</v>
      </c>
      <c r="K38" t="str">
        <f>"01/07/2021"</f>
        <v>01/07/2021</v>
      </c>
      <c r="L38" t="str">
        <f>"07/09/2021"</f>
        <v>07/09/2021</v>
      </c>
      <c r="M38" t="str">
        <f>""</f>
        <v/>
      </c>
      <c r="N38" t="str">
        <f>"AP STUDIO geom. Pizzeghello Angelo"</f>
        <v>AP STUDIO geom. Pizzeghello Angelo</v>
      </c>
      <c r="O38" t="str">
        <f>"AP STUDIO geom. Pizzeghello Angelo"</f>
        <v>AP STUDIO geom. Pizzeghello Angelo</v>
      </c>
      <c r="P38" t="str">
        <f>"Z9331EFFD5: [525.00€ ]"</f>
        <v>Z9331EFFD5: [525.00€ ]</v>
      </c>
      <c r="Q38" t="str">
        <f>""</f>
        <v/>
      </c>
      <c r="R38" t="str">
        <f>""</f>
        <v/>
      </c>
      <c r="S38" t="str">
        <f>""</f>
        <v/>
      </c>
      <c r="T38" t="str">
        <f>"https://portaletrasparenza.consorziobacchiglione.it/dettagli/attodigara/6986/verifica-di-tracciamenti-topografici-in-campagna-processo-id-004-21.html"</f>
        <v>https://portaletrasparenza.consorziobacchiglione.it/dettagli/attodigara/6986/verifica-di-tracciamenti-topografici-in-campagna-processo-id-004-21.html</v>
      </c>
      <c r="U38" t="str">
        <f>"https://portaletrasparenza.consorziobacchiglione.it/download/attodigara/6986/63ac459f8726f.PDF"</f>
        <v>https://portaletrasparenza.consorziobacchiglione.it/download/attodigara/6986/63ac459f8726f.PDF</v>
      </c>
      <c r="V3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9" spans="1:22" x14ac:dyDescent="0.3">
      <c r="A39" t="str">
        <f>"Affidamento"</f>
        <v>Affidamento</v>
      </c>
      <c r="B39" t="str">
        <f>"Oggetto: ID 018-15 - LAVORI DI COMPLETAMENTO DELL'IMPIANTO IDROVORO ALTIPIANO, CON SCARICO NEL FIUME BRENTA IN COMUNE DI CODEVIGO - Service tecnico VRB (valutazione rischio bellico) ai sensi del T.S.U. 81/2008 e SMI (leg"</f>
        <v>Oggetto: ID 018-15 - LAVORI DI COMPLETAMENTO DELL'IMPIANTO IDROVORO ALTIPIANO, CON SCARICO NEL FIUME BRENTA IN COMUNE DI CODEVIGO - Service tecnico VRB (valutazione rischio bellico) ai sensi del T.S.U. 81/2008 e SMI (leg</v>
      </c>
      <c r="C39" t="str">
        <f>"ZA532543D4"</f>
        <v>ZA532543D4</v>
      </c>
      <c r="D39" t="str">
        <f>"02/07/2021"</f>
        <v>02/07/2021</v>
      </c>
      <c r="E39" t="str">
        <f>""</f>
        <v/>
      </c>
      <c r="F39" t="str">
        <f>""</f>
        <v/>
      </c>
      <c r="G39" t="str">
        <f>"6000.00"</f>
        <v>6000.00</v>
      </c>
      <c r="H39" t="str">
        <f>"Consorzio di bonifica Bacchiglione"</f>
        <v>Consorzio di bonifica Bacchiglione</v>
      </c>
      <c r="I39" t="str">
        <f>"92223390284"</f>
        <v>92223390284</v>
      </c>
      <c r="J39" t="str">
        <f>"23-AFFIDAMENTO DIRETTO"</f>
        <v>23-AFFIDAMENTO DIRETTO</v>
      </c>
      <c r="K39" t="str">
        <f>"01/07/2021"</f>
        <v>01/07/2021</v>
      </c>
      <c r="L39" t="str">
        <f>"07/09/2021"</f>
        <v>07/09/2021</v>
      </c>
      <c r="M39" t="str">
        <f>""</f>
        <v/>
      </c>
      <c r="N39" t="str">
        <f>"SNB Service s.r.l."</f>
        <v>SNB Service s.r.l.</v>
      </c>
      <c r="O39" t="str">
        <f>"SNB Service s.r.l."</f>
        <v>SNB Service s.r.l.</v>
      </c>
      <c r="P39" t="str">
        <f>"ZA532543D4: [6000.00€ ]"</f>
        <v>ZA532543D4: [6000.00€ ]</v>
      </c>
      <c r="Q39" t="str">
        <f>""</f>
        <v/>
      </c>
      <c r="R39" t="str">
        <f>""</f>
        <v/>
      </c>
      <c r="S39" t="str">
        <f>""</f>
        <v/>
      </c>
      <c r="T39" t="s">
        <v>97</v>
      </c>
      <c r="U39" t="str">
        <f>"https://portaletrasparenza.consorziobacchiglione.it/download/attodigara/6985/63ac459fbfcb6.PDF"</f>
        <v>https://portaletrasparenza.consorziobacchiglione.it/download/attodigara/6985/63ac459fbfcb6.PDF</v>
      </c>
      <c r="V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0" spans="1:22" x14ac:dyDescent="0.3">
      <c r="A40" t="str">
        <f>"Affidamento"</f>
        <v>Affidamento</v>
      </c>
      <c r="B40" t="str">
        <f>"Spostamento Trattore Energreen targato AKB005 da Idrovora Bernio ad officina Biesse"</f>
        <v>Spostamento Trattore Energreen targato AKB005 da Idrovora Bernio ad officina Biesse</v>
      </c>
      <c r="C40" t="str">
        <f>"Z9B32547FF"</f>
        <v>Z9B32547FF</v>
      </c>
      <c r="D40" t="str">
        <f>"06/07/2021"</f>
        <v>06/07/2021</v>
      </c>
      <c r="E40" t="str">
        <f>""</f>
        <v/>
      </c>
      <c r="F40" t="str">
        <f>""</f>
        <v/>
      </c>
      <c r="G40" t="str">
        <f>"180.00"</f>
        <v>180.00</v>
      </c>
      <c r="H40" t="str">
        <f>"Consorzio di bonifica Bacchiglione"</f>
        <v>Consorzio di bonifica Bacchiglione</v>
      </c>
      <c r="I40" t="str">
        <f>"92223390284"</f>
        <v>92223390284</v>
      </c>
      <c r="J40" t="str">
        <f>"23-AFFIDAMENTO DIRETTO"</f>
        <v>23-AFFIDAMENTO DIRETTO</v>
      </c>
      <c r="K40" t="str">
        <f>"01/07/2021"</f>
        <v>01/07/2021</v>
      </c>
      <c r="L40" t="str">
        <f>"20/07/2021"</f>
        <v>20/07/2021</v>
      </c>
      <c r="M40" t="str">
        <f>""</f>
        <v/>
      </c>
      <c r="N40" t="str">
        <f>"Trovò s.r.l. Via Idrovora, 3 - 35020 Codevigo (PD)"</f>
        <v>Trovò s.r.l. Via Idrovora, 3 - 35020 Codevigo (PD)</v>
      </c>
      <c r="O40" t="str">
        <f>"Trovò s.r.l. Via Idrovora, 3 - 35020 Codevigo (PD)"</f>
        <v>Trovò s.r.l. Via Idrovora, 3 - 35020 Codevigo (PD)</v>
      </c>
      <c r="P40" t="str">
        <f>"Z9B32547FF: [180.00€ ]"</f>
        <v>Z9B32547FF: [180.00€ ]</v>
      </c>
      <c r="Q40" t="str">
        <f>""</f>
        <v/>
      </c>
      <c r="R40" t="str">
        <f>""</f>
        <v/>
      </c>
      <c r="S40" t="str">
        <f>""</f>
        <v/>
      </c>
      <c r="T40" t="str">
        <f>"https://portaletrasparenza.consorziobacchiglione.it/dettagli/attodigara/6990/spostamento-trattore-energreen-targato-akb005-da-idrovora-bernio-ad-officina-biesse.html"</f>
        <v>https://portaletrasparenza.consorziobacchiglione.it/dettagli/attodigara/6990/spostamento-trattore-energreen-targato-akb005-da-idrovora-bernio-ad-officina-biesse.html</v>
      </c>
      <c r="U40" t="str">
        <f>"https://portaletrasparenza.consorziobacchiglione.it/download/attodigara/6990/63ac45a467f68.PDF"</f>
        <v>https://portaletrasparenza.consorziobacchiglione.it/download/attodigara/6990/63ac45a467f68.PDF</v>
      </c>
      <c r="V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1" spans="1:22" x14ac:dyDescent="0.3">
      <c r="A41" t="str">
        <f>"Affidamento"</f>
        <v>Affidamento</v>
      </c>
      <c r="B41" t="str">
        <f>"Realizzazione e posa nuovo parapetto in acciaio zincato presso scolo Spinosetta in comune di Teolo"</f>
        <v>Realizzazione e posa nuovo parapetto in acciaio zincato presso scolo Spinosetta in comune di Teolo</v>
      </c>
      <c r="C41" t="str">
        <f>"ZD232523D6"</f>
        <v>ZD232523D6</v>
      </c>
      <c r="D41" t="str">
        <f>"06/07/2021"</f>
        <v>06/07/2021</v>
      </c>
      <c r="E41" t="str">
        <f>""</f>
        <v/>
      </c>
      <c r="F41" t="str">
        <f>""</f>
        <v/>
      </c>
      <c r="G41" t="str">
        <f>"1920.00"</f>
        <v>1920.00</v>
      </c>
      <c r="H41" t="str">
        <f>"Consorzio di bonifica Bacchiglione"</f>
        <v>Consorzio di bonifica Bacchiglione</v>
      </c>
      <c r="I41" t="str">
        <f>"92223390284"</f>
        <v>92223390284</v>
      </c>
      <c r="J41" t="str">
        <f>"23-AFFIDAMENTO DIRETTO"</f>
        <v>23-AFFIDAMENTO DIRETTO</v>
      </c>
      <c r="K41" t="str">
        <f>"01/07/2021"</f>
        <v>01/07/2021</v>
      </c>
      <c r="L41" t="str">
        <f>"20/09/2021"</f>
        <v>20/09/2021</v>
      </c>
      <c r="M41" t="str">
        <f>""</f>
        <v/>
      </c>
      <c r="N41" t="str">
        <f>"F.lli Conte SNC Via Marconi 17 35010 Villanova PD"</f>
        <v>F.lli Conte SNC Via Marconi 17 35010 Villanova PD</v>
      </c>
      <c r="O41" t="str">
        <f>"F.lli Conte SNC Via Marconi 17 35010 Villanova PD"</f>
        <v>F.lli Conte SNC Via Marconi 17 35010 Villanova PD</v>
      </c>
      <c r="P41" t="str">
        <f>"ZD232523D6: [1920.00€ ]"</f>
        <v>ZD232523D6: [1920.00€ ]</v>
      </c>
      <c r="Q41" t="str">
        <f>""</f>
        <v/>
      </c>
      <c r="R41" t="str">
        <f>""</f>
        <v/>
      </c>
      <c r="S41" t="str">
        <f>""</f>
        <v/>
      </c>
      <c r="T41" t="str">
        <f>"https://portaletrasparenza.consorziobacchiglione.it/dettagli/attodigara/6987/realizzazione-e-posa-nuovo-parapetto-in-acciaio-zincato-presso-scolo-spinosetta-in-comune-di-teolo.html"</f>
        <v>https://portaletrasparenza.consorziobacchiglione.it/dettagli/attodigara/6987/realizzazione-e-posa-nuovo-parapetto-in-acciaio-zincato-presso-scolo-spinosetta-in-comune-di-teolo.html</v>
      </c>
      <c r="U41" t="str">
        <f>"https://portaletrasparenza.consorziobacchiglione.it/download/attodigara/6987/63ac45a42f368.PDF"</f>
        <v>https://portaletrasparenza.consorziobacchiglione.it/download/attodigara/6987/63ac45a42f368.PDF</v>
      </c>
      <c r="V4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2" spans="1:22" x14ac:dyDescent="0.3">
      <c r="A42" t="str">
        <f>"Affidamento"</f>
        <v>Affidamento</v>
      </c>
      <c r="B42" t="str">
        <f>"Lavoro di installazione motorizzazione paratoia Acque Basse, Piccolo, Ricicleria e paratoia scarico Brentella."</f>
        <v>Lavoro di installazione motorizzazione paratoia Acque Basse, Piccolo, Ricicleria e paratoia scarico Brentella.</v>
      </c>
      <c r="C42" t="str">
        <f>"ZE932536C8"</f>
        <v>ZE932536C8</v>
      </c>
      <c r="D42" t="str">
        <f>"07/10/2021"</f>
        <v>07/10/2021</v>
      </c>
      <c r="E42" t="str">
        <f>""</f>
        <v/>
      </c>
      <c r="F42" t="str">
        <f>""</f>
        <v/>
      </c>
      <c r="G42" t="str">
        <f>"26100.00"</f>
        <v>26100.00</v>
      </c>
      <c r="H42" t="str">
        <f>"Consorzio di bonifica Bacchiglione"</f>
        <v>Consorzio di bonifica Bacchiglione</v>
      </c>
      <c r="I42" t="str">
        <f>"92223390284"</f>
        <v>92223390284</v>
      </c>
      <c r="J42" t="str">
        <f>"23-AFFIDAMENTO DIRETTO"</f>
        <v>23-AFFIDAMENTO DIRETTO</v>
      </c>
      <c r="K42" t="str">
        <f>"01/07/2021"</f>
        <v>01/07/2021</v>
      </c>
      <c r="L42" t="str">
        <f>"08/07/2022"</f>
        <v>08/07/2022</v>
      </c>
      <c r="M42" t="str">
        <f>""</f>
        <v/>
      </c>
      <c r="N42" t="str">
        <f>"F.lli Scapin S.R.L. Viale dell' Artigianato 67 35013 Cittadella PD"</f>
        <v>F.lli Scapin S.R.L. Viale dell' Artigianato 67 35013 Cittadella PD</v>
      </c>
      <c r="O42" t="str">
        <f>"F.lli Scapin S.R.L. Viale dell' Artigianato 67 35013 Cittadella PD"</f>
        <v>F.lli Scapin S.R.L. Viale dell' Artigianato 67 35013 Cittadella PD</v>
      </c>
      <c r="P42" t="str">
        <f>"ZE932536C8: [26100.00€ ]"</f>
        <v>ZE932536C8: [26100.00€ ]</v>
      </c>
      <c r="Q42" t="str">
        <f>""</f>
        <v/>
      </c>
      <c r="R42" t="str">
        <f>""</f>
        <v/>
      </c>
      <c r="S42" t="str">
        <f>""</f>
        <v/>
      </c>
      <c r="T42" t="str">
        <f>"https://portaletrasparenza.consorziobacchiglione.it/dettagli/attodigara/6988/lavoro-di-installazione-motorizzazione-paratoia-acque-basse-piccolo-ricicleria-e-paratoia-scarico-brentella.html"</f>
        <v>https://portaletrasparenza.consorziobacchiglione.it/dettagli/attodigara/6988/lavoro-di-installazione-motorizzazione-paratoia-acque-basse-piccolo-ricicleria-e-paratoia-scarico-brentella.html</v>
      </c>
      <c r="U42" t="str">
        <f>"https://portaletrasparenza.consorziobacchiglione.it/download/attodigara/6988/63ac45d7af32e.PDF"</f>
        <v>https://portaletrasparenza.consorziobacchiglione.it/download/attodigara/6988/63ac45d7af32e.PDF</v>
      </c>
      <c r="V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3" spans="1:22" x14ac:dyDescent="0.3">
      <c r="A43" t="str">
        <f>"Affidamento"</f>
        <v>Affidamento</v>
      </c>
      <c r="B43" t="str">
        <f>"ID13-19 Miglioramento del deflusso degli scoli Boracchia e Inferiore di Terranegra."</f>
        <v>ID13-19 Miglioramento del deflusso degli scoli Boracchia e Inferiore di Terranegra.</v>
      </c>
      <c r="C43" t="str">
        <f>"Z353253A3B"</f>
        <v>Z353253A3B</v>
      </c>
      <c r="D43" t="str">
        <f>"16/07/2021"</f>
        <v>16/07/2021</v>
      </c>
      <c r="E43" t="str">
        <f>""</f>
        <v/>
      </c>
      <c r="F43" t="str">
        <f>""</f>
        <v/>
      </c>
      <c r="G43" t="str">
        <f>"30494.82"</f>
        <v>30494.82</v>
      </c>
      <c r="H43" t="str">
        <f>"Consorzio di bonifica Bacchiglione"</f>
        <v>Consorzio di bonifica Bacchiglione</v>
      </c>
      <c r="I43" t="str">
        <f>"92223390284"</f>
        <v>92223390284</v>
      </c>
      <c r="J43" t="str">
        <f>"23-AFFIDAMENTO DIRETTO"</f>
        <v>23-AFFIDAMENTO DIRETTO</v>
      </c>
      <c r="K43" t="str">
        <f>"01/07/2021"</f>
        <v>01/07/2021</v>
      </c>
      <c r="L43" t="str">
        <f>"25/10/2021"</f>
        <v>25/10/2021</v>
      </c>
      <c r="M43" t="str">
        <f>""</f>
        <v/>
      </c>
      <c r="N43" t="str">
        <f>"Martini Scavi di Martini Massimo s.r.l."</f>
        <v>Martini Scavi di Martini Massimo s.r.l.</v>
      </c>
      <c r="O43" t="str">
        <f>"Martini Scavi di Martini Massimo s.r.l."</f>
        <v>Martini Scavi di Martini Massimo s.r.l.</v>
      </c>
      <c r="P43" t="str">
        <f>"Z353253A3B: [30494.82€ ]"</f>
        <v>Z353253A3B: [30494.82€ ]</v>
      </c>
      <c r="Q43" t="str">
        <f>""</f>
        <v/>
      </c>
      <c r="R43" t="str">
        <f>""</f>
        <v/>
      </c>
      <c r="S43" t="str">
        <f>""</f>
        <v/>
      </c>
      <c r="T43" t="str">
        <f>"https://portaletrasparenza.consorziobacchiglione.it/dettagli/attodigara/6989/id13-19-miglioramento-del-deflusso-degli-scoli-boracchia-e-inferiore-di-terranegra.html"</f>
        <v>https://portaletrasparenza.consorziobacchiglione.it/dettagli/attodigara/6989/id13-19-miglioramento-del-deflusso-degli-scoli-boracchia-e-inferiore-di-terranegra.html</v>
      </c>
      <c r="U43" t="str">
        <f>"https://portaletrasparenza.consorziobacchiglione.it/download/attodigara/6989/63ac45a563124.PDF"</f>
        <v>https://portaletrasparenza.consorziobacchiglione.it/download/attodigara/6989/63ac45a563124.PDF</v>
      </c>
      <c r="V4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4" spans="1:22" x14ac:dyDescent="0.3">
      <c r="A44" t="str">
        <f>"Affidamento"</f>
        <v>Affidamento</v>
      </c>
      <c r="B44" t="str">
        <f>"Fornitura apparecchiature di rete per connessione Rack server alla rete generale."</f>
        <v>Fornitura apparecchiature di rete per connessione Rack server alla rete generale.</v>
      </c>
      <c r="C44" t="str">
        <f>"Z401AD2FE9"</f>
        <v>Z401AD2FE9</v>
      </c>
      <c r="D44" t="str">
        <f>"04/11/2021"</f>
        <v>04/11/2021</v>
      </c>
      <c r="E44" t="str">
        <f>""</f>
        <v/>
      </c>
      <c r="F44" t="str">
        <f>""</f>
        <v/>
      </c>
      <c r="G44" t="str">
        <f>"4709.00"</f>
        <v>4709.00</v>
      </c>
      <c r="H44" t="str">
        <f>"Consorzio di bonifica Bacchiglione"</f>
        <v>Consorzio di bonifica Bacchiglione</v>
      </c>
      <c r="I44" t="str">
        <f>"92223390284"</f>
        <v>92223390284</v>
      </c>
      <c r="J44" t="str">
        <f>"23-AFFIDAMENTO DIRETTO"</f>
        <v>23-AFFIDAMENTO DIRETTO</v>
      </c>
      <c r="K44" t="str">
        <f>"01/08/2021"</f>
        <v>01/08/2021</v>
      </c>
      <c r="L44" t="str">
        <f>"14/10/2021"</f>
        <v>14/10/2021</v>
      </c>
      <c r="M44" t="str">
        <f>""</f>
        <v/>
      </c>
      <c r="N44" t="str">
        <f>"TPH Elettronica s.a.s. Via N. Pizzolo 51A 35132 Padova"</f>
        <v>TPH Elettronica s.a.s. Via N. Pizzolo 51A 35132 Padova</v>
      </c>
      <c r="O44" t="str">
        <f>"TPH Elettronica s.a.s. Via N. Pizzolo 51A 35132 Padova"</f>
        <v>TPH Elettronica s.a.s. Via N. Pizzolo 51A 35132 Padova</v>
      </c>
      <c r="P44" t="str">
        <f>"Z401AD2FE9: [4709.00€ ]"</f>
        <v>Z401AD2FE9: [4709.00€ ]</v>
      </c>
      <c r="Q44" t="str">
        <f>""</f>
        <v/>
      </c>
      <c r="R44" t="str">
        <f>""</f>
        <v/>
      </c>
      <c r="S44" t="str">
        <f>""</f>
        <v/>
      </c>
      <c r="T44" t="str">
        <f>"https://portaletrasparenza.consorziobacchiglione.it/dettagli/attodigara/640/fornitura-apparecchiature-di-rete-per-connessione-rack-server-alla-rete-generale.html"</f>
        <v>https://portaletrasparenza.consorziobacchiglione.it/dettagli/attodigara/640/fornitura-apparecchiature-di-rete-per-connessione-rack-server-alla-rete-generale.html</v>
      </c>
      <c r="U44" t="str">
        <f>""</f>
        <v/>
      </c>
      <c r="V4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5" spans="1:22" x14ac:dyDescent="0.3">
      <c r="A45" t="str">
        <f>"Affidamento"</f>
        <v>Affidamento</v>
      </c>
      <c r="B45" t="str">
        <f>"Fornitura di n 1 paratoia in lamiera zincata scolo Cavaizza di Corte."</f>
        <v>Fornitura di n 1 paratoia in lamiera zincata scolo Cavaizza di Corte.</v>
      </c>
      <c r="C45" t="str">
        <f>"ZF91AD2BD9"</f>
        <v>ZF91AD2BD9</v>
      </c>
      <c r="D45" t="str">
        <f>"04/11/2021"</f>
        <v>04/11/2021</v>
      </c>
      <c r="E45" t="str">
        <f>""</f>
        <v/>
      </c>
      <c r="F45" t="str">
        <f>""</f>
        <v/>
      </c>
      <c r="G45" t="str">
        <f>"90.00"</f>
        <v>90.00</v>
      </c>
      <c r="H45" t="str">
        <f>"Consorzio di bonifica Bacchiglione"</f>
        <v>Consorzio di bonifica Bacchiglione</v>
      </c>
      <c r="I45" t="str">
        <f>"92223390284"</f>
        <v>92223390284</v>
      </c>
      <c r="J45" t="str">
        <f>"23-AFFIDAMENTO DIRETTO"</f>
        <v>23-AFFIDAMENTO DIRETTO</v>
      </c>
      <c r="K45" t="str">
        <f>"01/08/2021"</f>
        <v>01/08/2021</v>
      </c>
      <c r="L45" t="str">
        <f>"31/12/2021"</f>
        <v>31/12/2021</v>
      </c>
      <c r="M45" t="str">
        <f>""</f>
        <v/>
      </c>
      <c r="N45" t="str">
        <f>"RT SRL Via dell'Artigianato 11 44027 Fiscaglia loc. Migliaro FE | Convento Claudio Via III^ Strada 3 Z.A. 30010 Campolongo Maggiore VE | Trolese Daniele via Roma 37A 30010 Camponogara VE"</f>
        <v>RT SRL Via dell'Artigianato 11 44027 Fiscaglia loc. Migliaro FE | Convento Claudio Via III^ Strada 3 Z.A. 30010 Campolongo Maggiore VE | Trolese Daniele via Roma 37A 30010 Camponogara VE</v>
      </c>
      <c r="O45" t="str">
        <f>"Trolese Daniele via Roma 37A 30010 Camponogara VE"</f>
        <v>Trolese Daniele via Roma 37A 30010 Camponogara VE</v>
      </c>
      <c r="P45" t="str">
        <f>"ZF91AD2BD9: [90.00€ ]"</f>
        <v>ZF91AD2BD9: [90.00€ ]</v>
      </c>
      <c r="Q45" t="str">
        <f>""</f>
        <v/>
      </c>
      <c r="R45" t="str">
        <f>""</f>
        <v/>
      </c>
      <c r="S45" t="str">
        <f>""</f>
        <v/>
      </c>
      <c r="T45" t="str">
        <f>"https://portaletrasparenza.consorziobacchiglione.it/dettagli/attodigara/639/fornitura-di-n-1-paratoia-in-lamiera-zincata-scolo-cavaizza-di-corte.html"</f>
        <v>https://portaletrasparenza.consorziobacchiglione.it/dettagli/attodigara/639/fornitura-di-n-1-paratoia-in-lamiera-zincata-scolo-cavaizza-di-corte.html</v>
      </c>
      <c r="U45" t="str">
        <f>""</f>
        <v/>
      </c>
      <c r="V4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6" spans="1:22" x14ac:dyDescent="0.3">
      <c r="A46" t="str">
        <f>"Affidamento"</f>
        <v>Affidamento</v>
      </c>
      <c r="B46" t="str">
        <f>"Fornitura di n 2 contenitori in acciaio zincato per trasformatori Idrovora S.Margherita."</f>
        <v>Fornitura di n 2 contenitori in acciaio zincato per trasformatori Idrovora S.Margherita.</v>
      </c>
      <c r="C46" t="str">
        <f>"ZF51AD29CA"</f>
        <v>ZF51AD29CA</v>
      </c>
      <c r="D46" t="str">
        <f>"04/11/2021"</f>
        <v>04/11/2021</v>
      </c>
      <c r="E46" t="str">
        <f>""</f>
        <v/>
      </c>
      <c r="F46" t="str">
        <f>""</f>
        <v/>
      </c>
      <c r="G46" t="str">
        <f>"2300.00"</f>
        <v>2300.00</v>
      </c>
      <c r="H46" t="str">
        <f>"Consorzio di bonifica Bacchiglione"</f>
        <v>Consorzio di bonifica Bacchiglione</v>
      </c>
      <c r="I46" t="str">
        <f>"92223390284"</f>
        <v>92223390284</v>
      </c>
      <c r="J46" t="str">
        <f>"23-AFFIDAMENTO DIRETTO"</f>
        <v>23-AFFIDAMENTO DIRETTO</v>
      </c>
      <c r="K46" t="str">
        <f>"01/08/2021"</f>
        <v>01/08/2021</v>
      </c>
      <c r="L46" t="str">
        <f>"15/11/2021"</f>
        <v>15/11/2021</v>
      </c>
      <c r="M46" t="str">
        <f>""</f>
        <v/>
      </c>
      <c r="N46" t="str">
        <f>"RT SRL Via dell'Artigianato 11 44027 Fiscaglia loc. Migliaro FE | Convento Claudio Via III^ Strada 3 Z.A. 30010 Campolongo Maggiore VE | Trolese Daniele via Roma 37A 30010 Camponogara VE"</f>
        <v>RT SRL Via dell'Artigianato 11 44027 Fiscaglia loc. Migliaro FE | Convento Claudio Via III^ Strada 3 Z.A. 30010 Campolongo Maggiore VE | Trolese Daniele via Roma 37A 30010 Camponogara VE</v>
      </c>
      <c r="O46" t="str">
        <f>"Trolese Daniele via Roma 37A 30010 Camponogara VE"</f>
        <v>Trolese Daniele via Roma 37A 30010 Camponogara VE</v>
      </c>
      <c r="P46" t="str">
        <f>"ZF51AD29CA: [2300.00€ ]"</f>
        <v>ZF51AD29CA: [2300.00€ ]</v>
      </c>
      <c r="Q46" t="str">
        <f>""</f>
        <v/>
      </c>
      <c r="R46" t="str">
        <f>""</f>
        <v/>
      </c>
      <c r="S46" t="str">
        <f>""</f>
        <v/>
      </c>
      <c r="T46" t="str">
        <f>"https://portaletrasparenza.consorziobacchiglione.it/dettagli/attodigara/638/fornitura-di-n-2-contenitori-in-acciaio-zincato-per-trasformatori-idrovora-s-margherita.html"</f>
        <v>https://portaletrasparenza.consorziobacchiglione.it/dettagli/attodigara/638/fornitura-di-n-2-contenitori-in-acciaio-zincato-per-trasformatori-idrovora-s-margherita.html</v>
      </c>
      <c r="U46" t="str">
        <f>""</f>
        <v/>
      </c>
      <c r="V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7" spans="1:22" x14ac:dyDescent="0.3">
      <c r="A47" t="str">
        <f>"Affidamento"</f>
        <v>Affidamento</v>
      </c>
      <c r="B47" t="str">
        <f>"Realizzazione di n 3 telai in acciaio e n 3 coperchi in alluminio per chiusura pozzettone scolo Tabacchin."</f>
        <v>Realizzazione di n 3 telai in acciaio e n 3 coperchi in alluminio per chiusura pozzettone scolo Tabacchin.</v>
      </c>
      <c r="C47" t="str">
        <f>"ZB71AD28C4"</f>
        <v>ZB71AD28C4</v>
      </c>
      <c r="D47" t="str">
        <f>"04/11/2021"</f>
        <v>04/11/2021</v>
      </c>
      <c r="E47" t="str">
        <f>""</f>
        <v/>
      </c>
      <c r="F47" t="str">
        <f>""</f>
        <v/>
      </c>
      <c r="G47" t="str">
        <f>"1350.00"</f>
        <v>1350.00</v>
      </c>
      <c r="H47" t="str">
        <f>"Consorzio di bonifica Bacchiglione"</f>
        <v>Consorzio di bonifica Bacchiglione</v>
      </c>
      <c r="I47" t="str">
        <f>"92223390284"</f>
        <v>92223390284</v>
      </c>
      <c r="J47" t="str">
        <f>"23-AFFIDAMENTO DIRETTO"</f>
        <v>23-AFFIDAMENTO DIRETTO</v>
      </c>
      <c r="K47" t="str">
        <f>"01/08/2021"</f>
        <v>01/08/2021</v>
      </c>
      <c r="L47" t="str">
        <f>"09/01/2021"</f>
        <v>09/01/2021</v>
      </c>
      <c r="M47" t="str">
        <f>""</f>
        <v/>
      </c>
      <c r="N47" t="str">
        <f>"RT SRL Via dell'Artigianato 11 44027 Fiscaglia loc. Migliaro FE | Convento Claudio Via III^ Strada 3 Z.A. 30010 Campolongo Maggiore VE | Trolese Daniele via Roma 37A 30010 Camponogara VE"</f>
        <v>RT SRL Via dell'Artigianato 11 44027 Fiscaglia loc. Migliaro FE | Convento Claudio Via III^ Strada 3 Z.A. 30010 Campolongo Maggiore VE | Trolese Daniele via Roma 37A 30010 Camponogara VE</v>
      </c>
      <c r="O47" t="str">
        <f>"Convento Claudio Via III^ Strada 3 Z.A. 30010 Campolongo Maggiore VE"</f>
        <v>Convento Claudio Via III^ Strada 3 Z.A. 30010 Campolongo Maggiore VE</v>
      </c>
      <c r="P47" t="str">
        <f>"ZB71AD28C4: [1350.00€ ]"</f>
        <v>ZB71AD28C4: [1350.00€ ]</v>
      </c>
      <c r="Q47" t="str">
        <f>""</f>
        <v/>
      </c>
      <c r="R47" t="str">
        <f>""</f>
        <v/>
      </c>
      <c r="S47" t="str">
        <f>""</f>
        <v/>
      </c>
      <c r="T47" t="str">
        <f>"https://portaletrasparenza.consorziobacchiglione.it/dettagli/attodigara/637/realizzazione-di-n-3-telai-in-acciaio-e-n-3-coperchi-in-alluminio-per-chiusura-pozzettone-scolo-tabacchin.html"</f>
        <v>https://portaletrasparenza.consorziobacchiglione.it/dettagli/attodigara/637/realizzazione-di-n-3-telai-in-acciaio-e-n-3-coperchi-in-alluminio-per-chiusura-pozzettone-scolo-tabacchin.html</v>
      </c>
      <c r="U47" t="str">
        <f>""</f>
        <v/>
      </c>
      <c r="V4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8" spans="1:22" x14ac:dyDescent="0.3">
      <c r="A48" t="str">
        <f>"Affidamento"</f>
        <v>Affidamento</v>
      </c>
      <c r="B48" t="str">
        <f>"Sistemazione fognature esterne per porzione Fabbricato sede Consorziale."</f>
        <v>Sistemazione fognature esterne per porzione Fabbricato sede Consorziale.</v>
      </c>
      <c r="C48" t="str">
        <f>"ZF01AD1EA3"</f>
        <v>ZF01AD1EA3</v>
      </c>
      <c r="D48" t="str">
        <f>"04/11/2021"</f>
        <v>04/11/2021</v>
      </c>
      <c r="E48" t="str">
        <f>""</f>
        <v/>
      </c>
      <c r="F48" t="str">
        <f>""</f>
        <v/>
      </c>
      <c r="G48" t="str">
        <f>"6250.00"</f>
        <v>6250.00</v>
      </c>
      <c r="H48" t="str">
        <f>"Consorzio di bonifica Bacchiglione"</f>
        <v>Consorzio di bonifica Bacchiglione</v>
      </c>
      <c r="I48" t="str">
        <f>"92223390284"</f>
        <v>92223390284</v>
      </c>
      <c r="J48" t="str">
        <f>"23-AFFIDAMENTO DIRETTO"</f>
        <v>23-AFFIDAMENTO DIRETTO</v>
      </c>
      <c r="K48" t="str">
        <f>"01/08/2021"</f>
        <v>01/08/2021</v>
      </c>
      <c r="L48" t="str">
        <f>"05/10/2021"</f>
        <v>05/10/2021</v>
      </c>
      <c r="M48" t="str">
        <f>""</f>
        <v/>
      </c>
      <c r="N48" t="str">
        <f>"F.lli Pastore S.R.L. Via Pozzoveggiani 34-3 Salboro PD"</f>
        <v>F.lli Pastore S.R.L. Via Pozzoveggiani 34-3 Salboro PD</v>
      </c>
      <c r="O48" t="str">
        <f>"F.lli Pastore S.R.L. Via Pozzoveggiani 34-3 Salboro PD"</f>
        <v>F.lli Pastore S.R.L. Via Pozzoveggiani 34-3 Salboro PD</v>
      </c>
      <c r="P48" t="str">
        <f>"ZF01AD1EA3: [6250.00€ ]"</f>
        <v>ZF01AD1EA3: [6250.00€ ]</v>
      </c>
      <c r="Q48" t="str">
        <f>""</f>
        <v/>
      </c>
      <c r="R48" t="str">
        <f>""</f>
        <v/>
      </c>
      <c r="S48" t="str">
        <f>""</f>
        <v/>
      </c>
      <c r="T48" t="str">
        <f>"https://portaletrasparenza.consorziobacchiglione.it/dettagli/attodigara/635/sistemazione-fognature-esterne-per-porzione-fabbricato-sede-consorziale.html"</f>
        <v>https://portaletrasparenza.consorziobacchiglione.it/dettagli/attodigara/635/sistemazione-fognature-esterne-per-porzione-fabbricato-sede-consorziale.html</v>
      </c>
      <c r="U48" t="str">
        <f>""</f>
        <v/>
      </c>
      <c r="V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9" spans="1:22" x14ac:dyDescent="0.3">
      <c r="A49" t="str">
        <f>"Affidamento"</f>
        <v>Affidamento</v>
      </c>
      <c r="B49" t="str">
        <f>"Fornitura e posa serramenti in legno sede Consorziale."</f>
        <v>Fornitura e posa serramenti in legno sede Consorziale.</v>
      </c>
      <c r="C49" t="str">
        <f>"Z651AD1C78"</f>
        <v>Z651AD1C78</v>
      </c>
      <c r="D49" t="str">
        <f>"04/11/2021"</f>
        <v>04/11/2021</v>
      </c>
      <c r="E49" t="str">
        <f>""</f>
        <v/>
      </c>
      <c r="F49" t="str">
        <f>""</f>
        <v/>
      </c>
      <c r="G49" t="str">
        <f>"10400.00"</f>
        <v>10400.00</v>
      </c>
      <c r="H49" t="str">
        <f>"Consorzio di bonifica Bacchiglione"</f>
        <v>Consorzio di bonifica Bacchiglione</v>
      </c>
      <c r="I49" t="str">
        <f>"92223390284"</f>
        <v>92223390284</v>
      </c>
      <c r="J49" t="str">
        <f>"23-AFFIDAMENTO DIRETTO"</f>
        <v>23-AFFIDAMENTO DIRETTO</v>
      </c>
      <c r="K49" t="str">
        <f>"01/08/2021"</f>
        <v>01/08/2021</v>
      </c>
      <c r="L49" t="str">
        <f>"03/01/2021"</f>
        <v>03/01/2021</v>
      </c>
      <c r="M49" t="str">
        <f>""</f>
        <v/>
      </c>
      <c r="N49" t="str">
        <f>"Ruzzon Maurizio Via Vittorio Emanuele III 101 35020 Codevigo PD | Ferraro Ag. Vendita serramenti via Don Milani 36 35020 Albignasego PD"</f>
        <v>Ruzzon Maurizio Via Vittorio Emanuele III 101 35020 Codevigo PD | Ferraro Ag. Vendita serramenti via Don Milani 36 35020 Albignasego PD</v>
      </c>
      <c r="O49" t="str">
        <f>"Ruzzon Maurizio Via Vittorio Emanuele III 101 35020 Codevigo PD"</f>
        <v>Ruzzon Maurizio Via Vittorio Emanuele III 101 35020 Codevigo PD</v>
      </c>
      <c r="P49" t="str">
        <f>"Z651AD1C78: [10400.00€ ]"</f>
        <v>Z651AD1C78: [10400.00€ ]</v>
      </c>
      <c r="Q49" t="str">
        <f>""</f>
        <v/>
      </c>
      <c r="R49" t="str">
        <f>""</f>
        <v/>
      </c>
      <c r="S49" t="str">
        <f>""</f>
        <v/>
      </c>
      <c r="T49" t="str">
        <f>"https://portaletrasparenza.consorziobacchiglione.it/dettagli/attodigara/634/fornitura-e-posa-serramenti-in-legno-sede-consorziale.html"</f>
        <v>https://portaletrasparenza.consorziobacchiglione.it/dettagli/attodigara/634/fornitura-e-posa-serramenti-in-legno-sede-consorziale.html</v>
      </c>
      <c r="U49" t="str">
        <f>""</f>
        <v/>
      </c>
      <c r="V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0" spans="1:22" x14ac:dyDescent="0.3">
      <c r="A50" t="str">
        <f>"Affidamento"</f>
        <v>Affidamento</v>
      </c>
      <c r="B50" t="str">
        <f>"Servizio di assistenza e manutenzione sistema di telecontrollo e telecomando impianti periodo Luglio - Agosto - Settembre 2016."</f>
        <v>Servizio di assistenza e manutenzione sistema di telecontrollo e telecomando impianti periodo Luglio - Agosto - Settembre 2016.</v>
      </c>
      <c r="C50" t="str">
        <f>"Z9E1AD1B2A"</f>
        <v>Z9E1AD1B2A</v>
      </c>
      <c r="D50" t="str">
        <f>"04/11/2021"</f>
        <v>04/11/2021</v>
      </c>
      <c r="E50" t="str">
        <f>""</f>
        <v/>
      </c>
      <c r="F50" t="str">
        <f>""</f>
        <v/>
      </c>
      <c r="G50" t="str">
        <f>"7000.00"</f>
        <v>7000.00</v>
      </c>
      <c r="H50" t="str">
        <f>"Consorzio di bonifica Bacchiglione"</f>
        <v>Consorzio di bonifica Bacchiglione</v>
      </c>
      <c r="I50" t="str">
        <f>"92223390284"</f>
        <v>92223390284</v>
      </c>
      <c r="J50" t="str">
        <f>"23-AFFIDAMENTO DIRETTO"</f>
        <v>23-AFFIDAMENTO DIRETTO</v>
      </c>
      <c r="K50" t="str">
        <f>"01/08/2021"</f>
        <v>01/08/2021</v>
      </c>
      <c r="L50" t="str">
        <f>"29/09/2021"</f>
        <v>29/09/2021</v>
      </c>
      <c r="M50" t="str">
        <f>""</f>
        <v/>
      </c>
      <c r="N50" t="str">
        <f>"Connet s.r.l. Via Giacomo Leopardi18A 35027 Noventa Padovana PD"</f>
        <v>Connet s.r.l. Via Giacomo Leopardi18A 35027 Noventa Padovana PD</v>
      </c>
      <c r="O50" t="str">
        <f>"Connet s.r.l. Via Giacomo Leopardi18A 35027 Noventa Padovana PD"</f>
        <v>Connet s.r.l. Via Giacomo Leopardi18A 35027 Noventa Padovana PD</v>
      </c>
      <c r="P50" t="str">
        <f>"Z9E1AD1B2A: [7000.00€ ]"</f>
        <v>Z9E1AD1B2A: [7000.00€ ]</v>
      </c>
      <c r="Q50" t="str">
        <f>""</f>
        <v/>
      </c>
      <c r="R50" t="str">
        <f>""</f>
        <v/>
      </c>
      <c r="S50" t="str">
        <f>""</f>
        <v/>
      </c>
      <c r="T50" t="str">
        <f>"https://portaletrasparenza.consorziobacchiglione.it/dettagli/attodigara/633/servizio-di-assistenza-e-manutenzione-sistema-di-telecontrollo-e-telecomando-impianti-periodo-luglio-agosto-settembre-2016.html"</f>
        <v>https://portaletrasparenza.consorziobacchiglione.it/dettagli/attodigara/633/servizio-di-assistenza-e-manutenzione-sistema-di-telecontrollo-e-telecomando-impianti-periodo-luglio-agosto-settembre-2016.html</v>
      </c>
      <c r="U50" t="str">
        <f>""</f>
        <v/>
      </c>
      <c r="V5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1" spans="1:22" x14ac:dyDescent="0.3">
      <c r="A51" t="str">
        <f>"Affidamento"</f>
        <v>Affidamento</v>
      </c>
      <c r="B51" t="str">
        <f>"Abbonamento annuale software Leica Geo Office."</f>
        <v>Abbonamento annuale software Leica Geo Office.</v>
      </c>
      <c r="C51" t="str">
        <f>"Z251AD101F"</f>
        <v>Z251AD101F</v>
      </c>
      <c r="D51" t="str">
        <f>"04/11/2021"</f>
        <v>04/11/2021</v>
      </c>
      <c r="E51" t="str">
        <f>""</f>
        <v/>
      </c>
      <c r="F51" t="str">
        <f>""</f>
        <v/>
      </c>
      <c r="G51" t="str">
        <f>"396.50"</f>
        <v>396.50</v>
      </c>
      <c r="H51" t="str">
        <f>"Consorzio di bonifica Bacchiglione"</f>
        <v>Consorzio di bonifica Bacchiglione</v>
      </c>
      <c r="I51" t="str">
        <f>"92223390284"</f>
        <v>92223390284</v>
      </c>
      <c r="J51" t="str">
        <f>"23-AFFIDAMENTO DIRETTO"</f>
        <v>23-AFFIDAMENTO DIRETTO</v>
      </c>
      <c r="K51" t="str">
        <f>"01/08/2021"</f>
        <v>01/08/2021</v>
      </c>
      <c r="L51" t="str">
        <f>"30/11/2021"</f>
        <v>30/11/2021</v>
      </c>
      <c r="M51" t="str">
        <f>""</f>
        <v/>
      </c>
      <c r="N51" t="str">
        <f>"Leica Geosystems S.p.A. Via Codognino 12 26854 Cornegliano Laudense LO"</f>
        <v>Leica Geosystems S.p.A. Via Codognino 12 26854 Cornegliano Laudense LO</v>
      </c>
      <c r="O51" t="str">
        <f>"Leica Geosystems S.p.A. Via Codognino 12 26854 Cornegliano Laudense LO"</f>
        <v>Leica Geosystems S.p.A. Via Codognino 12 26854 Cornegliano Laudense LO</v>
      </c>
      <c r="P51" t="str">
        <f>"Z251AD101F: [396.50€ ]"</f>
        <v>Z251AD101F: [396.50€ ]</v>
      </c>
      <c r="Q51" t="str">
        <f>""</f>
        <v/>
      </c>
      <c r="R51" t="str">
        <f>""</f>
        <v/>
      </c>
      <c r="S51" t="str">
        <f>""</f>
        <v/>
      </c>
      <c r="T51" t="str">
        <f>"https://portaletrasparenza.consorziobacchiglione.it/dettagli/attodigara/632/abbonamento-annuale-software-leica-geo-office.html"</f>
        <v>https://portaletrasparenza.consorziobacchiglione.it/dettagli/attodigara/632/abbonamento-annuale-software-leica-geo-office.html</v>
      </c>
      <c r="U51" t="str">
        <f>""</f>
        <v/>
      </c>
      <c r="V5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2" spans="1:22" x14ac:dyDescent="0.3">
      <c r="A52" t="str">
        <f>"Affidamento"</f>
        <v>Affidamento</v>
      </c>
      <c r="B52" t="str">
        <f>"Accertamenti sanitari al personale consorziale"</f>
        <v>Accertamenti sanitari al personale consorziale</v>
      </c>
      <c r="C52" t="str">
        <f>"ZF41AD1FB7"</f>
        <v>ZF41AD1FB7</v>
      </c>
      <c r="D52" t="str">
        <f>"04/11/2021"</f>
        <v>04/11/2021</v>
      </c>
      <c r="E52" t="str">
        <f>""</f>
        <v/>
      </c>
      <c r="F52" t="str">
        <f>""</f>
        <v/>
      </c>
      <c r="G52" t="str">
        <f>"2770.00"</f>
        <v>2770.00</v>
      </c>
      <c r="H52" t="str">
        <f>"Consorzio di bonifica Bacchiglione"</f>
        <v>Consorzio di bonifica Bacchiglione</v>
      </c>
      <c r="I52" t="str">
        <f>"92223390284"</f>
        <v>92223390284</v>
      </c>
      <c r="J52" t="str">
        <f>"23-AFFIDAMENTO DIRETTO"</f>
        <v>23-AFFIDAMENTO DIRETTO</v>
      </c>
      <c r="K52" t="str">
        <f>"01/08/2021"</f>
        <v>01/08/2021</v>
      </c>
      <c r="L52" t="str">
        <f>"05/10/2021"</f>
        <v>05/10/2021</v>
      </c>
      <c r="M52" t="str">
        <f>""</f>
        <v/>
      </c>
      <c r="N52" t="str">
        <f>"EMOLAB s.a.s. Piazzetta San Francesco 3-4 35026 Conselve PD"</f>
        <v>EMOLAB s.a.s. Piazzetta San Francesco 3-4 35026 Conselve PD</v>
      </c>
      <c r="O52" t="str">
        <f>"EMOLAB s.a.s. Piazzetta San Francesco 3-4 35026 Conselve PD"</f>
        <v>EMOLAB s.a.s. Piazzetta San Francesco 3-4 35026 Conselve PD</v>
      </c>
      <c r="P52" t="str">
        <f>"ZF41AD1FB7: [2766.00€ ]"</f>
        <v>ZF41AD1FB7: [2766.00€ ]</v>
      </c>
      <c r="Q52" t="str">
        <f>""</f>
        <v/>
      </c>
      <c r="R52" t="str">
        <f>""</f>
        <v/>
      </c>
      <c r="S52" t="str">
        <f>""</f>
        <v/>
      </c>
      <c r="T52" t="str">
        <f>"https://portaletrasparenza.consorziobacchiglione.it/dettagli/attodigara/636/accertamenti-sanitari-al-personale-consorziale.html"</f>
        <v>https://portaletrasparenza.consorziobacchiglione.it/dettagli/attodigara/636/accertamenti-sanitari-al-personale-consorziale.html</v>
      </c>
      <c r="U52" t="str">
        <f>""</f>
        <v/>
      </c>
      <c r="V52">
        <f>(SUBSTITUTE(Tabella1[[#This Row],[Importo di aggiudicazione]],".",","))-(SUBSTITUTE(  SUBSTITUTE(          SUBSTITUTE(Tabella1[[#This Row],[Dettaglio somme liquidate]],Tabella1[[#This Row],[CIG]]&amp;": [",""),"€ ]",""),".",","))</f>
        <v>4</v>
      </c>
    </row>
    <row r="53" spans="1:22" x14ac:dyDescent="0.3">
      <c r="A53" t="str">
        <f>"Affidamento"</f>
        <v>Affidamento</v>
      </c>
      <c r="B53" t="str">
        <f>"Manutenzione e riparazione mezzi con targa : PDAF496, Motobarca n 4, n 6."</f>
        <v>Manutenzione e riparazione mezzi con targa : PDAF496, Motobarca n 4, n 6.</v>
      </c>
      <c r="C53" t="str">
        <f>"Z581B05671"</f>
        <v>Z581B05671</v>
      </c>
      <c r="D53" t="str">
        <f>"04/11/2021"</f>
        <v>04/11/2021</v>
      </c>
      <c r="E53" t="str">
        <f>""</f>
        <v/>
      </c>
      <c r="F53" t="str">
        <f>""</f>
        <v/>
      </c>
      <c r="G53" t="str">
        <f>"6496.19"</f>
        <v>6496.19</v>
      </c>
      <c r="H53" t="str">
        <f>"Consorzio di bonifica Bacchiglione"</f>
        <v>Consorzio di bonifica Bacchiglione</v>
      </c>
      <c r="I53" t="str">
        <f>"92223390284"</f>
        <v>92223390284</v>
      </c>
      <c r="J53" t="str">
        <f>"23-AFFIDAMENTO DIRETTO"</f>
        <v>23-AFFIDAMENTO DIRETTO</v>
      </c>
      <c r="K53" t="str">
        <f>"01/09/2021"</f>
        <v>01/09/2021</v>
      </c>
      <c r="L53" t="str">
        <f>"27/10/2021"</f>
        <v>27/10/2021</v>
      </c>
      <c r="M53" t="str">
        <f>""</f>
        <v/>
      </c>
      <c r="N53" t="str">
        <f>"Officina Biesse S.n.c. Via Matteotti 24 35020 Arzergrande PD"</f>
        <v>Officina Biesse S.n.c. Via Matteotti 24 35020 Arzergrande PD</v>
      </c>
      <c r="O53" t="str">
        <f>"Officina Biesse S.n.c. Via Matteotti 24 35020 Arzergrande PD"</f>
        <v>Officina Biesse S.n.c. Via Matteotti 24 35020 Arzergrande PD</v>
      </c>
      <c r="P53" t="str">
        <f>"Z581B05671: [6496.19€ ]"</f>
        <v>Z581B05671: [6496.19€ ]</v>
      </c>
      <c r="Q53" t="str">
        <f>""</f>
        <v/>
      </c>
      <c r="R53" t="str">
        <f>""</f>
        <v/>
      </c>
      <c r="S53" t="str">
        <f>""</f>
        <v/>
      </c>
      <c r="T53" t="str">
        <f>"https://portaletrasparenza.consorziobacchiglione.it/dettagli/attodigara/711/manutenzione-e-riparazione-mezzi-con-targa-pdaf496-motobarca-n-4-n-6.html"</f>
        <v>https://portaletrasparenza.consorziobacchiglione.it/dettagli/attodigara/711/manutenzione-e-riparazione-mezzi-con-targa-pdaf496-motobarca-n-4-n-6.html</v>
      </c>
      <c r="U53" t="str">
        <f>""</f>
        <v/>
      </c>
      <c r="V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4" spans="1:22" x14ac:dyDescent="0.3">
      <c r="A54" t="str">
        <f>"Affidamento"</f>
        <v>Affidamento</v>
      </c>
      <c r="B54" t="str">
        <f>"Lavoro di potatura piante su Fossa Bastioni presso istituto scolastico in via Bronzetti a Padova."</f>
        <v>Lavoro di potatura piante su Fossa Bastioni presso istituto scolastico in via Bronzetti a Padova.</v>
      </c>
      <c r="C54" t="str">
        <f>"Z801B09049"</f>
        <v>Z801B09049</v>
      </c>
      <c r="D54" t="str">
        <f>"04/11/2021"</f>
        <v>04/11/2021</v>
      </c>
      <c r="E54" t="str">
        <f>""</f>
        <v/>
      </c>
      <c r="F54" t="str">
        <f>""</f>
        <v/>
      </c>
      <c r="G54" t="str">
        <f>"2500.00"</f>
        <v>2500.00</v>
      </c>
      <c r="H54" t="str">
        <f>"Consorzio di bonifica Bacchiglione"</f>
        <v>Consorzio di bonifica Bacchiglione</v>
      </c>
      <c r="I54" t="str">
        <f>"92223390284"</f>
        <v>92223390284</v>
      </c>
      <c r="J54" t="str">
        <f>"23-AFFIDAMENTO DIRETTO"</f>
        <v>23-AFFIDAMENTO DIRETTO</v>
      </c>
      <c r="K54" t="str">
        <f>"01/09/2021"</f>
        <v>01/09/2021</v>
      </c>
      <c r="L54" t="str">
        <f>"05/10/2021"</f>
        <v>05/10/2021</v>
      </c>
      <c r="M54" t="str">
        <f>""</f>
        <v/>
      </c>
      <c r="N54" t="str">
        <f>"Vivai F.lli Berti via S.Martino 46 Cervarese S.Croce PD"</f>
        <v>Vivai F.lli Berti via S.Martino 46 Cervarese S.Croce PD</v>
      </c>
      <c r="O54" t="str">
        <f>"Vivai F.lli Berti via S.Martino 46 Cervarese S.Croce PD"</f>
        <v>Vivai F.lli Berti via S.Martino 46 Cervarese S.Croce PD</v>
      </c>
      <c r="P54" t="str">
        <f>"Z801B09049: [2500.00€ ]"</f>
        <v>Z801B09049: [2500.00€ ]</v>
      </c>
      <c r="Q54" t="str">
        <f>""</f>
        <v/>
      </c>
      <c r="R54" t="str">
        <f>""</f>
        <v/>
      </c>
      <c r="S54" t="str">
        <f>""</f>
        <v/>
      </c>
      <c r="T54" t="str">
        <f>"https://portaletrasparenza.consorziobacchiglione.it/dettagli/attodigara/710/lavoro-di-potatura-piante-su-fossa-bastioni-presso-istituto-scolastico-in-via-bronzetti-a-padova.html"</f>
        <v>https://portaletrasparenza.consorziobacchiglione.it/dettagli/attodigara/710/lavoro-di-potatura-piante-su-fossa-bastioni-presso-istituto-scolastico-in-via-bronzetti-a-padova.html</v>
      </c>
      <c r="U54" t="str">
        <f>""</f>
        <v/>
      </c>
      <c r="V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5" spans="1:22" x14ac:dyDescent="0.3">
      <c r="A55" t="str">
        <f>"Affidamento"</f>
        <v>Affidamento</v>
      </c>
      <c r="B55" t="str">
        <f>"SERVIZIO SOSTITUTIVO MENSA PERSONALE PERIFERICO ANNO 2016 - BACINO SESTA PRESA"</f>
        <v>SERVIZIO SOSTITUTIVO MENSA PERSONALE PERIFERICO ANNO 2016 - BACINO SESTA PRESA</v>
      </c>
      <c r="C55" t="str">
        <f>"Z5D1B04C06"</f>
        <v>Z5D1B04C06</v>
      </c>
      <c r="D55" t="str">
        <f>"04/11/2021"</f>
        <v>04/11/2021</v>
      </c>
      <c r="E55" t="str">
        <f>""</f>
        <v/>
      </c>
      <c r="F55" t="str">
        <f>""</f>
        <v/>
      </c>
      <c r="G55" t="str">
        <f>"4545.45"</f>
        <v>4545.45</v>
      </c>
      <c r="H55" t="str">
        <f>"Consorzio di bonifica Bacchiglione"</f>
        <v>Consorzio di bonifica Bacchiglione</v>
      </c>
      <c r="I55" t="str">
        <f>"92223390284"</f>
        <v>92223390284</v>
      </c>
      <c r="J55" t="str">
        <f>"23-AFFIDAMENTO DIRETTO"</f>
        <v>23-AFFIDAMENTO DIRETTO</v>
      </c>
      <c r="K55" t="str">
        <f>"01/09/2021"</f>
        <v>01/09/2021</v>
      </c>
      <c r="L55" t="str">
        <f>"31/12/2021"</f>
        <v>31/12/2021</v>
      </c>
      <c r="M55" t="str">
        <f>""</f>
        <v/>
      </c>
      <c r="N55" t="str">
        <f>"S.V.T.B. SNC TRATTORIA AI GLICINI"</f>
        <v>S.V.T.B. SNC TRATTORIA AI GLICINI</v>
      </c>
      <c r="O55" t="str">
        <f>"S.V.T.B. SNC TRATTORIA AI GLICINI"</f>
        <v>S.V.T.B. SNC TRATTORIA AI GLICINI</v>
      </c>
      <c r="P55" t="str">
        <f>"Z5D1B04C06: [2862.72€ ]"</f>
        <v>Z5D1B04C06: [2862.72€ ]</v>
      </c>
      <c r="Q55" t="str">
        <f>""</f>
        <v/>
      </c>
      <c r="R55" t="str">
        <f>""</f>
        <v/>
      </c>
      <c r="S55" t="str">
        <f>""</f>
        <v/>
      </c>
      <c r="T55" t="str">
        <f>"https://portaletrasparenza.consorziobacchiglione.it/dettagli/attodigara/709/servizio-sostitutivo-mensa-personale-periferico-anno-2016-bacino-sesta-presa.html"</f>
        <v>https://portaletrasparenza.consorziobacchiglione.it/dettagli/attodigara/709/servizio-sostitutivo-mensa-personale-periferico-anno-2016-bacino-sesta-presa.html</v>
      </c>
      <c r="U55" t="str">
        <f>""</f>
        <v/>
      </c>
      <c r="V55">
        <f>(SUBSTITUTE(Tabella1[[#This Row],[Importo di aggiudicazione]],".",","))-(SUBSTITUTE(  SUBSTITUTE(          SUBSTITUTE(Tabella1[[#This Row],[Dettaglio somme liquidate]],Tabella1[[#This Row],[CIG]]&amp;": [",""),"€ ]",""),".",","))</f>
        <v>1682.73</v>
      </c>
    </row>
    <row r="56" spans="1:22" x14ac:dyDescent="0.3">
      <c r="A56" t="str">
        <f>"Affidamento"</f>
        <v>Affidamento</v>
      </c>
      <c r="B56" t="str">
        <f>"Formazione in materia di appalti pubblici: Conversione del decreto semplificazioni bis e gli effetti sugli appalti."</f>
        <v>Formazione in materia di appalti pubblici: Conversione del decreto semplificazioni bis e gli effetti sugli appalti.</v>
      </c>
      <c r="C56" t="str">
        <f>"Z3832E1AC9"</f>
        <v>Z3832E1AC9</v>
      </c>
      <c r="D56" t="str">
        <f>"01/09/2021"</f>
        <v>01/09/2021</v>
      </c>
      <c r="E56" t="str">
        <f>""</f>
        <v/>
      </c>
      <c r="F56" t="str">
        <f>""</f>
        <v/>
      </c>
      <c r="G56" t="str">
        <f>"750.00"</f>
        <v>750.00</v>
      </c>
      <c r="H56" t="str">
        <f>"Consorzio di bonifica Bacchiglione"</f>
        <v>Consorzio di bonifica Bacchiglione</v>
      </c>
      <c r="I56" t="str">
        <f>"92223390284"</f>
        <v>92223390284</v>
      </c>
      <c r="J56" t="str">
        <f>"23-AFFIDAMENTO DIRETTO"</f>
        <v>23-AFFIDAMENTO DIRETTO</v>
      </c>
      <c r="K56" t="str">
        <f>"01/09/2021"</f>
        <v>01/09/2021</v>
      </c>
      <c r="L56" t="str">
        <f>"22/09/2021"</f>
        <v>22/09/2021</v>
      </c>
      <c r="M56" t="str">
        <f>""</f>
        <v/>
      </c>
      <c r="N56" t="str">
        <f>"APPALTIAMO S.R.L.S."</f>
        <v>APPALTIAMO S.R.L.S.</v>
      </c>
      <c r="O56" t="str">
        <f>"APPALTIAMO S.R.L.S."</f>
        <v>APPALTIAMO S.R.L.S.</v>
      </c>
      <c r="P56" t="str">
        <f>"Z3832E1AC9: [660.00€ ]"</f>
        <v>Z3832E1AC9: [660.00€ ]</v>
      </c>
      <c r="Q56" t="str">
        <f>""</f>
        <v/>
      </c>
      <c r="R56" t="str">
        <f>""</f>
        <v/>
      </c>
      <c r="S56" t="str">
        <f>""</f>
        <v/>
      </c>
      <c r="T56" t="str">
        <f>"https://portaletrasparenza.consorziobacchiglione.it/dettagli/attodigara/7095/formazione-in-materia-di-appalti-pubblici-conversione-del-decreto-semplificazioni-bis-e-gli-effetti-sugli-appalti.html"</f>
        <v>https://portaletrasparenza.consorziobacchiglione.it/dettagli/attodigara/7095/formazione-in-materia-di-appalti-pubblici-conversione-del-decreto-semplificazioni-bis-e-gli-effetti-sugli-appalti.html</v>
      </c>
      <c r="U56" t="str">
        <f>"https://portaletrasparenza.consorziobacchiglione.it/download/attodigara/7095/63ac45bb3add1.PDF"</f>
        <v>https://portaletrasparenza.consorziobacchiglione.it/download/attodigara/7095/63ac45bb3add1.PDF</v>
      </c>
      <c r="V56">
        <f>(SUBSTITUTE(Tabella1[[#This Row],[Importo di aggiudicazione]],".",","))-(SUBSTITUTE(  SUBSTITUTE(          SUBSTITUTE(Tabella1[[#This Row],[Dettaglio somme liquidate]],Tabella1[[#This Row],[CIG]]&amp;": [",""),"€ ]",""),".",","))</f>
        <v>90</v>
      </c>
    </row>
    <row r="57" spans="1:22" x14ac:dyDescent="0.3">
      <c r="A57" t="str">
        <f>"Affidamento"</f>
        <v>Affidamento</v>
      </c>
      <c r="B57" t="str">
        <f>"Nuovo circuito di Backup presso C.O.S.Margherita"</f>
        <v>Nuovo circuito di Backup presso C.O.S.Margherita</v>
      </c>
      <c r="C57" t="str">
        <f>"Z5932E46FA"</f>
        <v>Z5932E46FA</v>
      </c>
      <c r="D57" t="str">
        <f>"03/09/2021"</f>
        <v>03/09/2021</v>
      </c>
      <c r="E57" t="str">
        <f>""</f>
        <v/>
      </c>
      <c r="F57" t="str">
        <f>""</f>
        <v/>
      </c>
      <c r="G57" t="str">
        <f>"520.00"</f>
        <v>520.00</v>
      </c>
      <c r="H57" t="str">
        <f>"Consorzio di bonifica Bacchiglione"</f>
        <v>Consorzio di bonifica Bacchiglione</v>
      </c>
      <c r="I57" t="str">
        <f>"92223390284"</f>
        <v>92223390284</v>
      </c>
      <c r="J57" t="str">
        <f>"23-AFFIDAMENTO DIRETTO"</f>
        <v>23-AFFIDAMENTO DIRETTO</v>
      </c>
      <c r="K57" t="str">
        <f>"01/09/2021"</f>
        <v>01/09/2021</v>
      </c>
      <c r="L57" t="str">
        <f>"30/11/2022"</f>
        <v>30/11/2022</v>
      </c>
      <c r="M57" t="str">
        <f>""</f>
        <v/>
      </c>
      <c r="N57" t="str">
        <f>"Fastweb S.P.A. Piazza Adriano Olivetti 1 - 20139 Milano"</f>
        <v>Fastweb S.P.A. Piazza Adriano Olivetti 1 - 20139 Milano</v>
      </c>
      <c r="O57" t="str">
        <f>"Fastweb S.P.A. Piazza Adriano Olivetti 1 - 20139 Milano"</f>
        <v>Fastweb S.P.A. Piazza Adriano Olivetti 1 - 20139 Milano</v>
      </c>
      <c r="P57" t="str">
        <f>"Z5932E46FA: [520.00€ ]"</f>
        <v>Z5932E46FA: [520.00€ ]</v>
      </c>
      <c r="Q57" t="str">
        <f>""</f>
        <v/>
      </c>
      <c r="R57" t="str">
        <f>""</f>
        <v/>
      </c>
      <c r="S57" t="str">
        <f>""</f>
        <v/>
      </c>
      <c r="T57" t="str">
        <f>"https://portaletrasparenza.consorziobacchiglione.it/dettagli/attodigara/7097/nuovo-circuito-di-backup-presso-c-o-s-margherita.html"</f>
        <v>https://portaletrasparenza.consorziobacchiglione.it/dettagli/attodigara/7097/nuovo-circuito-di-backup-presso-c-o-s-margherita.html</v>
      </c>
      <c r="U57" t="str">
        <f>"https://portaletrasparenza.consorziobacchiglione.it/download/attodigara/7097/63ac45bc2f7d0.PDF"</f>
        <v>https://portaletrasparenza.consorziobacchiglione.it/download/attodigara/7097/63ac45bc2f7d0.PDF</v>
      </c>
      <c r="V5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8" spans="1:22" x14ac:dyDescent="0.3">
      <c r="A58" t="str">
        <f>"Affidamento"</f>
        <v>Affidamento</v>
      </c>
      <c r="B58" t="str">
        <f>"Riparazione decespugliatore Stihl FS240R (n.cod.7) presso C.O.S.Margherita"</f>
        <v>Riparazione decespugliatore Stihl FS240R (n.cod.7) presso C.O.S.Margherita</v>
      </c>
      <c r="C58" t="str">
        <f>"Z2032E416B"</f>
        <v>Z2032E416B</v>
      </c>
      <c r="D58" t="str">
        <f>"03/09/2021"</f>
        <v>03/09/2021</v>
      </c>
      <c r="E58" t="str">
        <f>""</f>
        <v/>
      </c>
      <c r="F58" t="str">
        <f>""</f>
        <v/>
      </c>
      <c r="G58" t="str">
        <f>"47.54"</f>
        <v>47.54</v>
      </c>
      <c r="H58" t="str">
        <f>"Consorzio di bonifica Bacchiglione"</f>
        <v>Consorzio di bonifica Bacchiglione</v>
      </c>
      <c r="I58" t="str">
        <f>"92223390284"</f>
        <v>92223390284</v>
      </c>
      <c r="J58" t="str">
        <f>"23-AFFIDAMENTO DIRETTO"</f>
        <v>23-AFFIDAMENTO DIRETTO</v>
      </c>
      <c r="K58" t="str">
        <f>"01/09/2021"</f>
        <v>01/09/2021</v>
      </c>
      <c r="L58" t="str">
        <f>"23/09/2021"</f>
        <v>23/09/2021</v>
      </c>
      <c r="M58" t="str">
        <f>""</f>
        <v/>
      </c>
      <c r="N58" t="str">
        <f>"Mini Motor di Vettorato Gabriele Via Puccini 3 35020 Brugine PD"</f>
        <v>Mini Motor di Vettorato Gabriele Via Puccini 3 35020 Brugine PD</v>
      </c>
      <c r="O58" t="str">
        <f>"Mini Motor di Vettorato Gabriele Via Puccini 3 35020 Brugine PD"</f>
        <v>Mini Motor di Vettorato Gabriele Via Puccini 3 35020 Brugine PD</v>
      </c>
      <c r="P58" t="str">
        <f>"Z2032E416B: [47.54€ ]"</f>
        <v>Z2032E416B: [47.54€ ]</v>
      </c>
      <c r="Q58" t="str">
        <f>""</f>
        <v/>
      </c>
      <c r="R58" t="str">
        <f>""</f>
        <v/>
      </c>
      <c r="S58" t="str">
        <f>""</f>
        <v/>
      </c>
      <c r="T58" t="str">
        <f>"https://portaletrasparenza.consorziobacchiglione.it/dettagli/attodigara/7096/riparazione-decespugliatore-stihl-fs240r-n-cod-7-presso-c-o-s-margherita.html"</f>
        <v>https://portaletrasparenza.consorziobacchiglione.it/dettagli/attodigara/7096/riparazione-decespugliatore-stihl-fs240r-n-cod-7-presso-c-o-s-margherita.html</v>
      </c>
      <c r="U58" t="str">
        <f>"https://portaletrasparenza.consorziobacchiglione.it/download/attodigara/7096/63ac45bc29f5f.PDF"</f>
        <v>https://portaletrasparenza.consorziobacchiglione.it/download/attodigara/7096/63ac45bc29f5f.PDF</v>
      </c>
      <c r="V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9" spans="1:22" x14ac:dyDescent="0.3">
      <c r="A59" t="str">
        <f>"Affidamento"</f>
        <v>Affidamento</v>
      </c>
      <c r="B59" t="str">
        <f>"Pulizia vasca biologica sede consorziale."</f>
        <v>Pulizia vasca biologica sede consorziale.</v>
      </c>
      <c r="C59" t="str">
        <f>"Z101B66F8D"</f>
        <v>Z101B66F8D</v>
      </c>
      <c r="D59" t="str">
        <f>"04/11/2021"</f>
        <v>04/11/2021</v>
      </c>
      <c r="E59" t="str">
        <f>""</f>
        <v/>
      </c>
      <c r="F59" t="str">
        <f>""</f>
        <v/>
      </c>
      <c r="G59" t="str">
        <f>"200.00"</f>
        <v>200.00</v>
      </c>
      <c r="H59" t="str">
        <f>"Consorzio di bonifica Bacchiglione"</f>
        <v>Consorzio di bonifica Bacchiglione</v>
      </c>
      <c r="I59" t="str">
        <f>"92223390284"</f>
        <v>92223390284</v>
      </c>
      <c r="J59" t="str">
        <f>"23-AFFIDAMENTO DIRETTO"</f>
        <v>23-AFFIDAMENTO DIRETTO</v>
      </c>
      <c r="K59" t="str">
        <f>"01/10/2021"</f>
        <v>01/10/2021</v>
      </c>
      <c r="L59" t="str">
        <f>"09/11/2021"</f>
        <v>09/11/2021</v>
      </c>
      <c r="M59" t="str">
        <f>""</f>
        <v/>
      </c>
      <c r="N59" t="str">
        <f>"Mietto Gaetano Espurghi s.r.l. Via Vigonovese 88 35020 Saonara PD"</f>
        <v>Mietto Gaetano Espurghi s.r.l. Via Vigonovese 88 35020 Saonara PD</v>
      </c>
      <c r="O59" t="str">
        <f>"Mietto Gaetano Espurghi s.r.l. Via Vigonovese 88 35020 Saonara PD"</f>
        <v>Mietto Gaetano Espurghi s.r.l. Via Vigonovese 88 35020 Saonara PD</v>
      </c>
      <c r="P59" t="str">
        <f>"Z101B66F8D: [200.00€ ]"</f>
        <v>Z101B66F8D: [200.00€ ]</v>
      </c>
      <c r="Q59" t="str">
        <f>""</f>
        <v/>
      </c>
      <c r="R59" t="str">
        <f>""</f>
        <v/>
      </c>
      <c r="S59" t="str">
        <f>""</f>
        <v/>
      </c>
      <c r="T59" t="str">
        <f>"https://portaletrasparenza.consorziobacchiglione.it/dettagli/attodigara/794/pulizia-vasca-biologica-sede-consorziale.html"</f>
        <v>https://portaletrasparenza.consorziobacchiglione.it/dettagli/attodigara/794/pulizia-vasca-biologica-sede-consorziale.html</v>
      </c>
      <c r="U59" t="str">
        <f>""</f>
        <v/>
      </c>
      <c r="V5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0" spans="1:22" x14ac:dyDescent="0.3">
      <c r="A60" t="str">
        <f>"Affidamento"</f>
        <v>Affidamento</v>
      </c>
      <c r="B60" t="str">
        <f>"Servizio di inversione n.8 gomme del mezzo targato: PDAH521"</f>
        <v>Servizio di inversione n.8 gomme del mezzo targato: PDAH521</v>
      </c>
      <c r="C60" t="str">
        <f>"Z873347BF8"</f>
        <v>Z873347BF8</v>
      </c>
      <c r="D60" t="str">
        <f>"04/10/2021"</f>
        <v>04/10/2021</v>
      </c>
      <c r="E60" t="str">
        <f>""</f>
        <v/>
      </c>
      <c r="F60" t="str">
        <f>""</f>
        <v/>
      </c>
      <c r="G60" t="str">
        <f>"233.00"</f>
        <v>233.00</v>
      </c>
      <c r="H60" t="str">
        <f>"Consorzio di bonifica Bacchiglione"</f>
        <v>Consorzio di bonifica Bacchiglione</v>
      </c>
      <c r="I60" t="str">
        <f>"92223390284"</f>
        <v>92223390284</v>
      </c>
      <c r="J60" t="str">
        <f>"23-AFFIDAMENTO DIRETTO"</f>
        <v>23-AFFIDAMENTO DIRETTO</v>
      </c>
      <c r="K60" t="str">
        <f>"01/10/2021"</f>
        <v>01/10/2021</v>
      </c>
      <c r="L60" t="str">
        <f>"31/10/2021"</f>
        <v>31/10/2021</v>
      </c>
      <c r="M60" t="str">
        <f>""</f>
        <v/>
      </c>
      <c r="N60" t="str">
        <f>"Ri.gom.ma S.R.L. Via Orlando, 47 - 30173 Campalto (VE)"</f>
        <v>Ri.gom.ma S.R.L. Via Orlando, 47 - 30173 Campalto (VE)</v>
      </c>
      <c r="O60" t="str">
        <f>"Ri.gom.ma S.R.L. Via Orlando, 47 - 30173 Campalto (VE)"</f>
        <v>Ri.gom.ma S.R.L. Via Orlando, 47 - 30173 Campalto (VE)</v>
      </c>
      <c r="P60" t="s">
        <v>299</v>
      </c>
      <c r="Q60" t="str">
        <f>""</f>
        <v/>
      </c>
      <c r="R60" t="str">
        <f>""</f>
        <v/>
      </c>
      <c r="S60" t="str">
        <f>""</f>
        <v/>
      </c>
      <c r="T60" t="str">
        <f>"https://portaletrasparenza.consorziobacchiglione.it/dettagli/attodigara/7186/servizio-di-inversione-n-8-gomme-del-mezzo-targato-pdah521.html"</f>
        <v>https://portaletrasparenza.consorziobacchiglione.it/dettagli/attodigara/7186/servizio-di-inversione-n-8-gomme-del-mezzo-targato-pdah521.html</v>
      </c>
      <c r="U60" t="str">
        <f>"https://portaletrasparenza.consorziobacchiglione.it/download/attodigara/7186/63ac45d32ec17.PDF"</f>
        <v>https://portaletrasparenza.consorziobacchiglione.it/download/attodigara/7186/63ac45d32ec17.PDF</v>
      </c>
      <c r="V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1" spans="1:22" x14ac:dyDescent="0.3">
      <c r="A61" t="str">
        <f>"Affidamento"</f>
        <v>Affidamento</v>
      </c>
      <c r="B61" t="str">
        <f>"Revisione n.3 distributori mobili e taratura n.4 pompe installate su Tank e n.7 pompe installate su distributori mobili"</f>
        <v>Revisione n.3 distributori mobili e taratura n.4 pompe installate su Tank e n.7 pompe installate su distributori mobili</v>
      </c>
      <c r="C61" t="str">
        <f>"Z753347914"</f>
        <v>Z753347914</v>
      </c>
      <c r="D61" t="str">
        <f>"04/10/2021"</f>
        <v>04/10/2021</v>
      </c>
      <c r="E61" t="str">
        <f>""</f>
        <v/>
      </c>
      <c r="F61" t="str">
        <f>""</f>
        <v/>
      </c>
      <c r="G61" t="str">
        <f>"1470.02"</f>
        <v>1470.02</v>
      </c>
      <c r="H61" t="str">
        <f>"Consorzio di bonifica Bacchiglione"</f>
        <v>Consorzio di bonifica Bacchiglione</v>
      </c>
      <c r="I61" t="str">
        <f>"92223390284"</f>
        <v>92223390284</v>
      </c>
      <c r="J61" t="str">
        <f>"23-AFFIDAMENTO DIRETTO"</f>
        <v>23-AFFIDAMENTO DIRETTO</v>
      </c>
      <c r="K61" t="str">
        <f>"01/10/2021"</f>
        <v>01/10/2021</v>
      </c>
      <c r="L61" t="str">
        <f>"29/11/2021"</f>
        <v>29/11/2021</v>
      </c>
      <c r="M61" t="str">
        <f>""</f>
        <v/>
      </c>
      <c r="N61" t="str">
        <f>"Emiliana Serbatoi Via Largo Maestri del Lavoro 40 41011 Campogalliano MO"</f>
        <v>Emiliana Serbatoi Via Largo Maestri del Lavoro 40 41011 Campogalliano MO</v>
      </c>
      <c r="O61" t="str">
        <f>"Emiliana Serbatoi Via Largo Maestri del Lavoro 40 41011 Campogalliano MO"</f>
        <v>Emiliana Serbatoi Via Largo Maestri del Lavoro 40 41011 Campogalliano MO</v>
      </c>
      <c r="P61" t="str">
        <f>"Z753347914: [1470.02€ ]"</f>
        <v>Z753347914: [1470.02€ ]</v>
      </c>
      <c r="Q61" t="str">
        <f>""</f>
        <v/>
      </c>
      <c r="R61" t="str">
        <f>""</f>
        <v/>
      </c>
      <c r="S61" t="str">
        <f>""</f>
        <v/>
      </c>
      <c r="T61" t="str">
        <f>"https://portaletrasparenza.consorziobacchiglione.it/dettagli/attodigara/7185/revisione-n-3-distributori-mobili-e-taratura-n-4-pompe-installate-su-tank-e-n-7-pompe-installate-su-distributori-mobili.html"</f>
        <v>https://portaletrasparenza.consorziobacchiglione.it/dettagli/attodigara/7185/revisione-n-3-distributori-mobili-e-taratura-n-4-pompe-installate-su-tank-e-n-7-pompe-installate-su-distributori-mobili.html</v>
      </c>
      <c r="U61" t="str">
        <f>"https://portaletrasparenza.consorziobacchiglione.it/download/attodigara/7185/63ac45d2ea473.PDF"</f>
        <v>https://portaletrasparenza.consorziobacchiglione.it/download/attodigara/7185/63ac45d2ea473.PDF</v>
      </c>
      <c r="V6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2" spans="1:22" x14ac:dyDescent="0.3">
      <c r="A62" t="str">
        <f>"Affidamento"</f>
        <v>Affidamento</v>
      </c>
      <c r="B62" t="str">
        <f>"Manutenzione e riparazione mezzi targati: FN454KT, motobarca n.4"</f>
        <v>Manutenzione e riparazione mezzi targati: FN454KT, motobarca n.4</v>
      </c>
      <c r="C62" t="str">
        <f>"Z443346FCB"</f>
        <v>Z443346FCB</v>
      </c>
      <c r="D62" t="str">
        <f>"04/10/2021"</f>
        <v>04/10/2021</v>
      </c>
      <c r="E62" t="str">
        <f>""</f>
        <v/>
      </c>
      <c r="F62" t="str">
        <f>""</f>
        <v/>
      </c>
      <c r="G62" t="str">
        <f>"1210.00"</f>
        <v>1210.00</v>
      </c>
      <c r="H62" t="str">
        <f>"Consorzio di bonifica Bacchiglione"</f>
        <v>Consorzio di bonifica Bacchiglione</v>
      </c>
      <c r="I62" t="str">
        <f>"92223390284"</f>
        <v>92223390284</v>
      </c>
      <c r="J62" t="str">
        <f>"23-AFFIDAMENTO DIRETTO"</f>
        <v>23-AFFIDAMENTO DIRETTO</v>
      </c>
      <c r="K62" t="str">
        <f>"01/10/2021"</f>
        <v>01/10/2021</v>
      </c>
      <c r="L62" t="str">
        <f>"06/08/2022"</f>
        <v>06/08/2022</v>
      </c>
      <c r="M62" t="str">
        <f>""</f>
        <v/>
      </c>
      <c r="N62" t="str">
        <f>"Vise Elettrocar Via Montagnon 61 35028 Tognana di Piove di Sacco PD"</f>
        <v>Vise Elettrocar Via Montagnon 61 35028 Tognana di Piove di Sacco PD</v>
      </c>
      <c r="O62" t="str">
        <f>"Vise Elettrocar Via Montagnon 61 35028 Tognana di Piove di Sacco PD"</f>
        <v>Vise Elettrocar Via Montagnon 61 35028 Tognana di Piove di Sacco PD</v>
      </c>
      <c r="P62" t="str">
        <f>"Z443346FCB: [1210.00€ ]"</f>
        <v>Z443346FCB: [1210.00€ ]</v>
      </c>
      <c r="Q62" t="str">
        <f>""</f>
        <v/>
      </c>
      <c r="R62" t="str">
        <f>""</f>
        <v/>
      </c>
      <c r="S62" t="str">
        <f>""</f>
        <v/>
      </c>
      <c r="T62" t="str">
        <f>"https://portaletrasparenza.consorziobacchiglione.it/dettagli/attodigara/7184/manutenzione-e-riparazione-mezzi-targati-fn454kt-motobarca-n-4.html"</f>
        <v>https://portaletrasparenza.consorziobacchiglione.it/dettagli/attodigara/7184/manutenzione-e-riparazione-mezzi-targati-fn454kt-motobarca-n-4.html</v>
      </c>
      <c r="U62" t="str">
        <f>"https://portaletrasparenza.consorziobacchiglione.it/download/attodigara/7184/63ac45d2b193b.PDF"</f>
        <v>https://portaletrasparenza.consorziobacchiglione.it/download/attodigara/7184/63ac45d2b193b.PDF</v>
      </c>
      <c r="V6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3" spans="1:22" x14ac:dyDescent="0.3">
      <c r="A63" t="str">
        <f>"Affidamento"</f>
        <v>Affidamento</v>
      </c>
      <c r="B63" t="str">
        <f>"Fornitura rampe da carico per miniescavatore"</f>
        <v>Fornitura rampe da carico per miniescavatore</v>
      </c>
      <c r="C63" t="str">
        <f>"Z7D1C50C01"</f>
        <v>Z7D1C50C01</v>
      </c>
      <c r="D63" t="str">
        <f>"04/11/2021"</f>
        <v>04/11/2021</v>
      </c>
      <c r="E63" t="str">
        <f>""</f>
        <v/>
      </c>
      <c r="F63" t="str">
        <f>""</f>
        <v/>
      </c>
      <c r="G63" t="str">
        <f>"830.00"</f>
        <v>830.00</v>
      </c>
      <c r="H63" t="str">
        <f>"Consorzio di bonifica Bacchiglione"</f>
        <v>Consorzio di bonifica Bacchiglione</v>
      </c>
      <c r="I63" t="str">
        <f>"92223390284"</f>
        <v>92223390284</v>
      </c>
      <c r="J63" t="str">
        <f>"23-AFFIDAMENTO DIRETTO"</f>
        <v>23-AFFIDAMENTO DIRETTO</v>
      </c>
      <c r="K63" t="str">
        <f>"01/12/2021"</f>
        <v>01/12/2021</v>
      </c>
      <c r="L63" t="str">
        <f>"01/02/2021"</f>
        <v>01/02/2021</v>
      </c>
      <c r="M63" t="str">
        <f>""</f>
        <v/>
      </c>
      <c r="N63" t="str">
        <f>"Adriatica Commerciale Macchine s.r.l. Via dell'Artigianato 5 35020 Due Carrare PD | Sorme Noleggi s.a.s. Via Monache 21 35030 Selvazzano Dentro PD | Sofim Spa via Strada Statale 56 km 7 33040 Pradamano UD"</f>
        <v>Adriatica Commerciale Macchine s.r.l. Via dell'Artigianato 5 35020 Due Carrare PD | Sorme Noleggi s.a.s. Via Monache 21 35030 Selvazzano Dentro PD | Sofim Spa via Strada Statale 56 km 7 33040 Pradamano UD</v>
      </c>
      <c r="O63" t="str">
        <f>"Sofim Spa via Strada Statale 56 km 7 33040 Pradamano UD"</f>
        <v>Sofim Spa via Strada Statale 56 km 7 33040 Pradamano UD</v>
      </c>
      <c r="P63" t="str">
        <f>"Z7D1C50C01: [830.00€ ]"</f>
        <v>Z7D1C50C01: [830.00€ ]</v>
      </c>
      <c r="Q63" t="str">
        <f>""</f>
        <v/>
      </c>
      <c r="R63" t="str">
        <f>""</f>
        <v/>
      </c>
      <c r="S63" t="str">
        <f>""</f>
        <v/>
      </c>
      <c r="T63" t="str">
        <f>"https://portaletrasparenza.consorziobacchiglione.it/dettagli/attodigara/965/fornitura-rampe-da-carico-per-miniescavatore.html"</f>
        <v>https://portaletrasparenza.consorziobacchiglione.it/dettagli/attodigara/965/fornitura-rampe-da-carico-per-miniescavatore.html</v>
      </c>
      <c r="U63" t="str">
        <f>""</f>
        <v/>
      </c>
      <c r="V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4" spans="1:22" x14ac:dyDescent="0.3">
      <c r="A64" t="str">
        <f>"Affidamento"</f>
        <v>Affidamento</v>
      </c>
      <c r="B64" t="str">
        <f>"Fornitura piatto zincato per griglia solo Montà"</f>
        <v>Fornitura piatto zincato per griglia solo Montà</v>
      </c>
      <c r="C64" t="str">
        <f>"Z691C4DB79"</f>
        <v>Z691C4DB79</v>
      </c>
      <c r="D64" t="str">
        <f>"04/11/2021"</f>
        <v>04/11/2021</v>
      </c>
      <c r="E64" t="str">
        <f>""</f>
        <v/>
      </c>
      <c r="F64" t="str">
        <f>""</f>
        <v/>
      </c>
      <c r="G64" t="str">
        <f>"150.00"</f>
        <v>150.00</v>
      </c>
      <c r="H64" t="str">
        <f>"Consorzio di bonifica Bacchiglione"</f>
        <v>Consorzio di bonifica Bacchiglione</v>
      </c>
      <c r="I64" t="str">
        <f>"92223390284"</f>
        <v>92223390284</v>
      </c>
      <c r="J64" t="str">
        <f>"23-AFFIDAMENTO DIRETTO"</f>
        <v>23-AFFIDAMENTO DIRETTO</v>
      </c>
      <c r="K64" t="str">
        <f>"01/12/2021"</f>
        <v>01/12/2021</v>
      </c>
      <c r="L64" t="str">
        <f>"04/01/2021"</f>
        <v>04/01/2021</v>
      </c>
      <c r="M64" t="str">
        <f>""</f>
        <v/>
      </c>
      <c r="N64" t="str">
        <f>"Adriatica Commerciale Macchine s.r.l. Via dell'Artigianato 5 35020 Due Carrare PD"</f>
        <v>Adriatica Commerciale Macchine s.r.l. Via dell'Artigianato 5 35020 Due Carrare PD</v>
      </c>
      <c r="O64" t="str">
        <f>"Adriatica Commerciale Macchine s.r.l. Via dell'Artigianato 5 35020 Due Carrare PD"</f>
        <v>Adriatica Commerciale Macchine s.r.l. Via dell'Artigianato 5 35020 Due Carrare PD</v>
      </c>
      <c r="P64" t="str">
        <f>"Z691C4DB79: [150.00€ ]"</f>
        <v>Z691C4DB79: [150.00€ ]</v>
      </c>
      <c r="Q64" t="str">
        <f>""</f>
        <v/>
      </c>
      <c r="R64" t="str">
        <f>""</f>
        <v/>
      </c>
      <c r="S64" t="str">
        <f>""</f>
        <v/>
      </c>
      <c r="T64" t="str">
        <f>"https://portaletrasparenza.consorziobacchiglione.it/dettagli/attodigara/964/fornitura-piatto-zincato-per-griglia-solo-monta.html"</f>
        <v>https://portaletrasparenza.consorziobacchiglione.it/dettagli/attodigara/964/fornitura-piatto-zincato-per-griglia-solo-monta.html</v>
      </c>
      <c r="U64" t="str">
        <f>""</f>
        <v/>
      </c>
      <c r="V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5" spans="1:22" x14ac:dyDescent="0.3">
      <c r="A65" t="str">
        <f>"Affidamento"</f>
        <v>Affidamento</v>
      </c>
      <c r="B65" t="str">
        <f>"Fornitura toner per stampante HP Color Laserjet CP 2025 presso Sede Consorziale"</f>
        <v>Fornitura toner per stampante HP Color Laserjet CP 2025 presso Sede Consorziale</v>
      </c>
      <c r="C65" t="str">
        <f>"Z693431C23"</f>
        <v>Z693431C23</v>
      </c>
      <c r="D65" t="str">
        <f>"02/12/2021"</f>
        <v>02/12/2021</v>
      </c>
      <c r="E65" t="str">
        <f>""</f>
        <v/>
      </c>
      <c r="F65" t="str">
        <f>""</f>
        <v/>
      </c>
      <c r="G65" t="str">
        <f>"1605.00"</f>
        <v>1605.00</v>
      </c>
      <c r="H65" t="str">
        <f>"Consorzio di bonifica Bacchiglione"</f>
        <v>Consorzio di bonifica Bacchiglione</v>
      </c>
      <c r="I65" t="str">
        <f>"92223390284"</f>
        <v>92223390284</v>
      </c>
      <c r="J65" t="str">
        <f>"23-AFFIDAMENTO DIRETTO"</f>
        <v>23-AFFIDAMENTO DIRETTO</v>
      </c>
      <c r="K65" t="str">
        <f>"01/12/2021"</f>
        <v>01/12/2021</v>
      </c>
      <c r="L65" t="str">
        <f>"13/12/2021"</f>
        <v>13/12/2021</v>
      </c>
      <c r="M65" t="str">
        <f>""</f>
        <v/>
      </c>
      <c r="N65" t="str">
        <f>"FR di Fumani Riccardo e C. s.n.c. Viale Navigazione Interna 82 L 35027 Noventa Padovana PD"</f>
        <v>FR di Fumani Riccardo e C. s.n.c. Viale Navigazione Interna 82 L 35027 Noventa Padovana PD</v>
      </c>
      <c r="O65" t="str">
        <f>"FR di Fumani Riccardo e C. s.n.c. Viale Navigazione Interna 82 L 35027 Noventa Padovana PD"</f>
        <v>FR di Fumani Riccardo e C. s.n.c. Viale Navigazione Interna 82 L 35027 Noventa Padovana PD</v>
      </c>
      <c r="P65" t="s">
        <v>227</v>
      </c>
      <c r="Q65" t="str">
        <f>""</f>
        <v/>
      </c>
      <c r="R65" t="str">
        <f>""</f>
        <v/>
      </c>
      <c r="S65" t="str">
        <f>""</f>
        <v/>
      </c>
      <c r="T65" t="str">
        <f>"https://portaletrasparenza.consorziobacchiglione.it/dettagli/attodigara/7330/fornitura-toner-per-stampante-hp-color-laserjet-cp-2025-presso-sede-consorziale.html"</f>
        <v>https://portaletrasparenza.consorziobacchiglione.it/dettagli/attodigara/7330/fornitura-toner-per-stampante-hp-color-laserjet-cp-2025-presso-sede-consorziale.html</v>
      </c>
      <c r="U65" t="str">
        <f>"https://portaletrasparenza.consorziobacchiglione.it/download/attodigara/7330/63ac45f44cbd1.PDF"</f>
        <v>https://portaletrasparenza.consorziobacchiglione.it/download/attodigara/7330/63ac45f44cbd1.PDF</v>
      </c>
      <c r="V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6" spans="1:22" x14ac:dyDescent="0.3">
      <c r="A66" t="str">
        <f>"Affidamento"</f>
        <v>Affidamento</v>
      </c>
      <c r="B66" t="str">
        <f>"Fornitura allarme satellitare da installarsi su nuovo Midi Escavatore Kubota assegnato a Bacino Pratiarcati"</f>
        <v>Fornitura allarme satellitare da installarsi su nuovo Midi Escavatore Kubota assegnato a Bacino Pratiarcati</v>
      </c>
      <c r="C66" t="str">
        <f>"Z06343131A"</f>
        <v>Z06343131A</v>
      </c>
      <c r="D66" t="str">
        <f>"02/12/2021"</f>
        <v>02/12/2021</v>
      </c>
      <c r="E66" t="str">
        <f>""</f>
        <v/>
      </c>
      <c r="F66" t="str">
        <f>""</f>
        <v/>
      </c>
      <c r="G66" t="str">
        <f>"700.00"</f>
        <v>700.00</v>
      </c>
      <c r="H66" t="str">
        <f>"Consorzio di bonifica Bacchiglione"</f>
        <v>Consorzio di bonifica Bacchiglione</v>
      </c>
      <c r="I66" t="str">
        <f>"92223390284"</f>
        <v>92223390284</v>
      </c>
      <c r="J66" t="str">
        <f>"23-AFFIDAMENTO DIRETTO"</f>
        <v>23-AFFIDAMENTO DIRETTO</v>
      </c>
      <c r="K66" t="str">
        <f>"01/12/2021"</f>
        <v>01/12/2021</v>
      </c>
      <c r="L66" t="str">
        <f>"06/08/2022"</f>
        <v>06/08/2022</v>
      </c>
      <c r="M66" t="str">
        <f>""</f>
        <v/>
      </c>
      <c r="N66" t="str">
        <f>"Vise Elettrocar Via Montagnon 61 35028 Tognana di Piove di Sacco PD"</f>
        <v>Vise Elettrocar Via Montagnon 61 35028 Tognana di Piove di Sacco PD</v>
      </c>
      <c r="O66" t="str">
        <f>"Vise Elettrocar Via Montagnon 61 35028 Tognana di Piove di Sacco PD"</f>
        <v>Vise Elettrocar Via Montagnon 61 35028 Tognana di Piove di Sacco PD</v>
      </c>
      <c r="P66" t="str">
        <f>"Z06343131A: [700.00€ ]"</f>
        <v>Z06343131A: [700.00€ ]</v>
      </c>
      <c r="Q66" t="str">
        <f>""</f>
        <v/>
      </c>
      <c r="R66" t="str">
        <f>""</f>
        <v/>
      </c>
      <c r="S66" t="str">
        <f>""</f>
        <v/>
      </c>
      <c r="T66" t="str">
        <f>"https://portaletrasparenza.consorziobacchiglione.it/dettagli/attodigara/7329/fornitura-allarme-satellitare-da-installarsi-su-nuovo-midi-escavatore-kubota-assegnato-a-bacino-pratiarcati.html"</f>
        <v>https://portaletrasparenza.consorziobacchiglione.it/dettagli/attodigara/7329/fornitura-allarme-satellitare-da-installarsi-su-nuovo-midi-escavatore-kubota-assegnato-a-bacino-pratiarcati.html</v>
      </c>
      <c r="U66" t="str">
        <f>"https://portaletrasparenza.consorziobacchiglione.it/download/attodigara/7329/63ac45f413bb9.PDF"</f>
        <v>https://portaletrasparenza.consorziobacchiglione.it/download/attodigara/7329/63ac45f413bb9.PDF</v>
      </c>
      <c r="V6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7" spans="1:22" x14ac:dyDescent="0.3">
      <c r="A67" t="str">
        <f>"Affidamento"</f>
        <v>Affidamento</v>
      </c>
      <c r="B67" t="str">
        <f>"Fornitura calcestruzzo RCK 300 S4 per scolo laterale Bersaglio."</f>
        <v>Fornitura calcestruzzo RCK 300 S4 per scolo laterale Bersaglio.</v>
      </c>
      <c r="C67" t="str">
        <f>"Z071855966"</f>
        <v>Z071855966</v>
      </c>
      <c r="D67" t="str">
        <f>"04/11/2021"</f>
        <v>04/11/2021</v>
      </c>
      <c r="E67" t="str">
        <f>""</f>
        <v/>
      </c>
      <c r="F67" t="str">
        <f>""</f>
        <v/>
      </c>
      <c r="G67" t="str">
        <f>"67.00"</f>
        <v>67.00</v>
      </c>
      <c r="H67" t="str">
        <f>"Consorzio di bonifica Bacchiglione"</f>
        <v>Consorzio di bonifica Bacchiglione</v>
      </c>
      <c r="I67" t="str">
        <f>"92223390284"</f>
        <v>92223390284</v>
      </c>
      <c r="J67" t="str">
        <f>"23-AFFIDAMENTO DIRETTO"</f>
        <v>23-AFFIDAMENTO DIRETTO</v>
      </c>
      <c r="K67" t="str">
        <f>"02/02/2021"</f>
        <v>02/02/2021</v>
      </c>
      <c r="L67" t="str">
        <f>"24/02/2021"</f>
        <v>24/02/2021</v>
      </c>
      <c r="M67" t="str">
        <f>""</f>
        <v/>
      </c>
      <c r="N67" t="str">
        <f>"Zagolin Giovanni s.r.l. Via Gelsi 56 35028 Piove di Sacco PD"</f>
        <v>Zagolin Giovanni s.r.l. Via Gelsi 56 35028 Piove di Sacco PD</v>
      </c>
      <c r="O67" t="str">
        <f>"Zagolin Giovanni s.r.l. Via Gelsi 56 35028 Piove di Sacco PD"</f>
        <v>Zagolin Giovanni s.r.l. Via Gelsi 56 35028 Piove di Sacco PD</v>
      </c>
      <c r="P67" t="str">
        <f>"Z071855966: [67.00€ ]"</f>
        <v>Z071855966: [67.00€ ]</v>
      </c>
      <c r="Q67" t="str">
        <f>""</f>
        <v/>
      </c>
      <c r="R67" t="str">
        <f>""</f>
        <v/>
      </c>
      <c r="S67" t="str">
        <f>""</f>
        <v/>
      </c>
      <c r="T67" t="str">
        <f>"https://portaletrasparenza.consorziobacchiglione.it/dettagli/attodigara/117/fornitura-calcestruzzo-rck-300-s4-per-scolo-laterale-bersaglio.html"</f>
        <v>https://portaletrasparenza.consorziobacchiglione.it/dettagli/attodigara/117/fornitura-calcestruzzo-rck-300-s4-per-scolo-laterale-bersaglio.html</v>
      </c>
      <c r="U67" t="str">
        <f>""</f>
        <v/>
      </c>
      <c r="V6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8" spans="1:22" x14ac:dyDescent="0.3">
      <c r="A68" t="str">
        <f>"Affidamento"</f>
        <v>Affidamento</v>
      </c>
      <c r="B68" t="str">
        <f>"Manutenzione e riparazione mezzi con targa: CT189YR."</f>
        <v>Manutenzione e riparazione mezzi con targa: CT189YR.</v>
      </c>
      <c r="C68" t="str">
        <f>"ZB6185578B"</f>
        <v>ZB6185578B</v>
      </c>
      <c r="D68" t="str">
        <f>"04/11/2021"</f>
        <v>04/11/2021</v>
      </c>
      <c r="E68" t="str">
        <f>""</f>
        <v/>
      </c>
      <c r="F68" t="str">
        <f>""</f>
        <v/>
      </c>
      <c r="G68" t="str">
        <f>"3115.15"</f>
        <v>3115.15</v>
      </c>
      <c r="H68" t="str">
        <f>"Consorzio di bonifica Bacchiglione"</f>
        <v>Consorzio di bonifica Bacchiglione</v>
      </c>
      <c r="I68" t="str">
        <f>"92223390284"</f>
        <v>92223390284</v>
      </c>
      <c r="J68" t="str">
        <f>"23-AFFIDAMENTO DIRETTO"</f>
        <v>23-AFFIDAMENTO DIRETTO</v>
      </c>
      <c r="K68" t="str">
        <f>"02/02/2021"</f>
        <v>02/02/2021</v>
      </c>
      <c r="L68" t="str">
        <f>"18/03/2021"</f>
        <v>18/03/2021</v>
      </c>
      <c r="M68" t="str">
        <f>""</f>
        <v/>
      </c>
      <c r="N68" t="str">
        <f>"Negrisolo Officina Meccanica s.a.s. V.le delle Industrie II° strada 13 35025 Cagnola di Cartura PD"</f>
        <v>Negrisolo Officina Meccanica s.a.s. V.le delle Industrie II° strada 13 35025 Cagnola di Cartura PD</v>
      </c>
      <c r="O68" t="str">
        <f>"Negrisolo Officina Meccanica s.a.s. V.le delle Industrie II° strada 13 35025 Cagnola di Cartura PD"</f>
        <v>Negrisolo Officina Meccanica s.a.s. V.le delle Industrie II° strada 13 35025 Cagnola di Cartura PD</v>
      </c>
      <c r="P68" t="str">
        <f>"ZB6185578B: [3115.15€ ]"</f>
        <v>ZB6185578B: [3115.15€ ]</v>
      </c>
      <c r="Q68" t="str">
        <f>""</f>
        <v/>
      </c>
      <c r="R68" t="str">
        <f>""</f>
        <v/>
      </c>
      <c r="S68" t="str">
        <f>""</f>
        <v/>
      </c>
      <c r="T68" t="str">
        <f>"https://portaletrasparenza.consorziobacchiglione.it/dettagli/attodigara/116/manutenzione-e-riparazione-mezzi-con-targa-ct189yr.html"</f>
        <v>https://portaletrasparenza.consorziobacchiglione.it/dettagli/attodigara/116/manutenzione-e-riparazione-mezzi-con-targa-ct189yr.html</v>
      </c>
      <c r="U68" t="str">
        <f>""</f>
        <v/>
      </c>
      <c r="V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9" spans="1:22" x14ac:dyDescent="0.3">
      <c r="A69" t="str">
        <f>"Affidamento"</f>
        <v>Affidamento</v>
      </c>
      <c r="B69" t="str">
        <f>"Fornitura grasso per C.O.Bovolenta."</f>
        <v>Fornitura grasso per C.O.Bovolenta.</v>
      </c>
      <c r="C69" t="str">
        <f>"Z5C185452B"</f>
        <v>Z5C185452B</v>
      </c>
      <c r="D69" t="str">
        <f>"04/11/2021"</f>
        <v>04/11/2021</v>
      </c>
      <c r="E69" t="str">
        <f>""</f>
        <v/>
      </c>
      <c r="F69" t="str">
        <f>""</f>
        <v/>
      </c>
      <c r="G69" t="str">
        <f>"904.20"</f>
        <v>904.20</v>
      </c>
      <c r="H69" t="str">
        <f>"Consorzio di bonifica Bacchiglione"</f>
        <v>Consorzio di bonifica Bacchiglione</v>
      </c>
      <c r="I69" t="str">
        <f>"92223390284"</f>
        <v>92223390284</v>
      </c>
      <c r="J69" t="str">
        <f>"23-AFFIDAMENTO DIRETTO"</f>
        <v>23-AFFIDAMENTO DIRETTO</v>
      </c>
      <c r="K69" t="str">
        <f>"02/02/2021"</f>
        <v>02/02/2021</v>
      </c>
      <c r="L69" t="str">
        <f>"07/03/2021"</f>
        <v>07/03/2021</v>
      </c>
      <c r="M69" t="str">
        <f>""</f>
        <v/>
      </c>
      <c r="N69" t="str">
        <f>"Nils S.p.A. Via Stazione 30 39014 Burgstall BZ"</f>
        <v>Nils S.p.A. Via Stazione 30 39014 Burgstall BZ</v>
      </c>
      <c r="O69" t="str">
        <f>"Nils S.p.A. Via Stazione 30 39014 Burgstall BZ"</f>
        <v>Nils S.p.A. Via Stazione 30 39014 Burgstall BZ</v>
      </c>
      <c r="P69" t="str">
        <f>"Z5C185452B: [904.20€ ]"</f>
        <v>Z5C185452B: [904.20€ ]</v>
      </c>
      <c r="Q69" t="str">
        <f>""</f>
        <v/>
      </c>
      <c r="R69" t="str">
        <f>""</f>
        <v/>
      </c>
      <c r="S69" t="str">
        <f>""</f>
        <v/>
      </c>
      <c r="T69" t="str">
        <f>"https://portaletrasparenza.consorziobacchiglione.it/dettagli/attodigara/114/fornitura-grasso-per-c-o-bovolenta.html"</f>
        <v>https://portaletrasparenza.consorziobacchiglione.it/dettagli/attodigara/114/fornitura-grasso-per-c-o-bovolenta.html</v>
      </c>
      <c r="U69" t="str">
        <f>""</f>
        <v/>
      </c>
      <c r="V6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0" spans="1:22" x14ac:dyDescent="0.3">
      <c r="A70" t="str">
        <f>"Affidamento"</f>
        <v>Affidamento</v>
      </c>
      <c r="B70" t="str">
        <f>"Fornitura materiale elettrico per bacino Sesta Presa."</f>
        <v>Fornitura materiale elettrico per bacino Sesta Presa.</v>
      </c>
      <c r="C70" t="str">
        <f>"Z2D1854444"</f>
        <v>Z2D1854444</v>
      </c>
      <c r="D70" t="str">
        <f>"04/11/2021"</f>
        <v>04/11/2021</v>
      </c>
      <c r="E70" t="str">
        <f>""</f>
        <v/>
      </c>
      <c r="F70" t="str">
        <f>""</f>
        <v/>
      </c>
      <c r="G70" t="str">
        <f>"2003.81"</f>
        <v>2003.81</v>
      </c>
      <c r="H70" t="str">
        <f>"Consorzio di bonifica Bacchiglione"</f>
        <v>Consorzio di bonifica Bacchiglione</v>
      </c>
      <c r="I70" t="str">
        <f>"92223390284"</f>
        <v>92223390284</v>
      </c>
      <c r="J70" t="str">
        <f>"23-AFFIDAMENTO DIRETTO"</f>
        <v>23-AFFIDAMENTO DIRETTO</v>
      </c>
      <c r="K70" t="str">
        <f>"02/02/2021"</f>
        <v>02/02/2021</v>
      </c>
      <c r="L70" t="str">
        <f>"18/05/2021"</f>
        <v>18/05/2021</v>
      </c>
      <c r="M70" t="str">
        <f>""</f>
        <v/>
      </c>
      <c r="N70" t="str">
        <f>"Elettroveneta S.p.A. Viale della Navigazione Interna, 48 - 35129 Padova (PD)"</f>
        <v>Elettroveneta S.p.A. Viale della Navigazione Interna, 48 - 35129 Padova (PD)</v>
      </c>
      <c r="O70" t="str">
        <f>"Elettroveneta S.p.A. Viale della Navigazione Interna, 48 - 35129 Padova (PD)"</f>
        <v>Elettroveneta S.p.A. Viale della Navigazione Interna, 48 - 35129 Padova (PD)</v>
      </c>
      <c r="P70" t="str">
        <f>"Z2D1854444: [2003.81€ ]"</f>
        <v>Z2D1854444: [2003.81€ ]</v>
      </c>
      <c r="Q70" t="str">
        <f>""</f>
        <v/>
      </c>
      <c r="R70" t="str">
        <f>""</f>
        <v/>
      </c>
      <c r="S70" t="str">
        <f>""</f>
        <v/>
      </c>
      <c r="T70" t="str">
        <f>"https://portaletrasparenza.consorziobacchiglione.it/dettagli/attodigara/113/fornitura-materiale-elettrico-per-bacino-sesta-presa.html"</f>
        <v>https://portaletrasparenza.consorziobacchiglione.it/dettagli/attodigara/113/fornitura-materiale-elettrico-per-bacino-sesta-presa.html</v>
      </c>
      <c r="U70" t="str">
        <f>""</f>
        <v/>
      </c>
      <c r="V7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1" spans="1:22" x14ac:dyDescent="0.3">
      <c r="A71" t="str">
        <f>"Affidamento"</f>
        <v>Affidamento</v>
      </c>
      <c r="B71" t="str">
        <f>"Fornitura materiale edile o di ferramenta per bacino Sesta Presa."</f>
        <v>Fornitura materiale edile o di ferramenta per bacino Sesta Presa.</v>
      </c>
      <c r="C71" t="str">
        <f>"ZB71855AC1"</f>
        <v>ZB71855AC1</v>
      </c>
      <c r="D71" t="str">
        <f>"04/11/2021"</f>
        <v>04/11/2021</v>
      </c>
      <c r="E71" t="str">
        <f>""</f>
        <v/>
      </c>
      <c r="F71" t="str">
        <f>""</f>
        <v/>
      </c>
      <c r="G71" t="str">
        <f>"529.25"</f>
        <v>529.25</v>
      </c>
      <c r="H71" t="str">
        <f>"Consorzio di bonifica Bacchiglione"</f>
        <v>Consorzio di bonifica Bacchiglione</v>
      </c>
      <c r="I71" t="str">
        <f>"92223390284"</f>
        <v>92223390284</v>
      </c>
      <c r="J71" t="str">
        <f>"23-AFFIDAMENTO DIRETTO"</f>
        <v>23-AFFIDAMENTO DIRETTO</v>
      </c>
      <c r="K71" t="str">
        <f>"02/02/2021"</f>
        <v>02/02/2021</v>
      </c>
      <c r="L71" t="str">
        <f>"10/03/2021"</f>
        <v>10/03/2021</v>
      </c>
      <c r="M71" t="str">
        <f>""</f>
        <v/>
      </c>
      <c r="N71" t="str">
        <f>"Gollo Giovanni Via Vallona 65 35020 Conche di Codevigo PD"</f>
        <v>Gollo Giovanni Via Vallona 65 35020 Conche di Codevigo PD</v>
      </c>
      <c r="O71" t="str">
        <f>"Gollo Giovanni Via Vallona 65 35020 Conche di Codevigo PD"</f>
        <v>Gollo Giovanni Via Vallona 65 35020 Conche di Codevigo PD</v>
      </c>
      <c r="P71" t="str">
        <f>"ZB71855AC1: [529.24€ ]"</f>
        <v>ZB71855AC1: [529.24€ ]</v>
      </c>
      <c r="Q71" t="str">
        <f>""</f>
        <v/>
      </c>
      <c r="R71" t="str">
        <f>""</f>
        <v/>
      </c>
      <c r="S71" t="str">
        <f>""</f>
        <v/>
      </c>
      <c r="T71" t="str">
        <f>"https://portaletrasparenza.consorziobacchiglione.it/dettagli/attodigara/118/fornitura-materiale-edile-o-di-ferramenta-per-bacino-sesta-presa.html"</f>
        <v>https://portaletrasparenza.consorziobacchiglione.it/dettagli/attodigara/118/fornitura-materiale-edile-o-di-ferramenta-per-bacino-sesta-presa.html</v>
      </c>
      <c r="U71" t="str">
        <f>""</f>
        <v/>
      </c>
      <c r="V71">
        <f>(SUBSTITUTE(Tabella1[[#This Row],[Importo di aggiudicazione]],".",","))-(SUBSTITUTE(  SUBSTITUTE(          SUBSTITUTE(Tabella1[[#This Row],[Dettaglio somme liquidate]],Tabella1[[#This Row],[CIG]]&amp;": [",""),"€ ]",""),".",","))</f>
        <v>9.9999999999909051E-3</v>
      </c>
    </row>
    <row r="72" spans="1:22" x14ac:dyDescent="0.3">
      <c r="A72" t="str">
        <f>"Affidamento"</f>
        <v>Affidamento</v>
      </c>
      <c r="B72" t="str">
        <f>"Analisi di terreno e sedimento su scoli Consorziali : Scolo Bolzan."</f>
        <v>Analisi di terreno e sedimento su scoli Consorziali : Scolo Bolzan.</v>
      </c>
      <c r="C72" t="str">
        <f>"Z7518555B6"</f>
        <v>Z7518555B6</v>
      </c>
      <c r="D72" t="str">
        <f>"04/11/2021"</f>
        <v>04/11/2021</v>
      </c>
      <c r="E72" t="str">
        <f>""</f>
        <v/>
      </c>
      <c r="F72" t="str">
        <f>""</f>
        <v/>
      </c>
      <c r="G72" t="str">
        <f>"1680.00"</f>
        <v>1680.00</v>
      </c>
      <c r="H72" t="str">
        <f>"Consorzio di bonifica Bacchiglione"</f>
        <v>Consorzio di bonifica Bacchiglione</v>
      </c>
      <c r="I72" t="str">
        <f>"92223390284"</f>
        <v>92223390284</v>
      </c>
      <c r="J72" t="str">
        <f>"23-AFFIDAMENTO DIRETTO"</f>
        <v>23-AFFIDAMENTO DIRETTO</v>
      </c>
      <c r="K72" t="str">
        <f>"02/02/2021"</f>
        <v>02/02/2021</v>
      </c>
      <c r="L72" t="str">
        <f>"30/06/2021"</f>
        <v>30/06/2021</v>
      </c>
      <c r="M72" t="str">
        <f>""</f>
        <v/>
      </c>
      <c r="N72" t="str">
        <f>"Innovazione Chimica s.r.l. Via Lazio 36 31045 Motta di Livenza TV"</f>
        <v>Innovazione Chimica s.r.l. Via Lazio 36 31045 Motta di Livenza TV</v>
      </c>
      <c r="O72" t="str">
        <f>"Innovazione Chimica s.r.l. Via Lazio 36 31045 Motta di Livenza TV"</f>
        <v>Innovazione Chimica s.r.l. Via Lazio 36 31045 Motta di Livenza TV</v>
      </c>
      <c r="P72" t="str">
        <f>"Z7518555B6: [1679.90€ ]"</f>
        <v>Z7518555B6: [1679.90€ ]</v>
      </c>
      <c r="Q72" t="str">
        <f>""</f>
        <v/>
      </c>
      <c r="R72" t="str">
        <f>""</f>
        <v/>
      </c>
      <c r="S72" t="str">
        <f>""</f>
        <v/>
      </c>
      <c r="T72" t="str">
        <f>"https://portaletrasparenza.consorziobacchiglione.it/dettagli/attodigara/115/analisi-di-terreno-e-sedimento-su-scoli-consorziali-scolo-bolzan.html"</f>
        <v>https://portaletrasparenza.consorziobacchiglione.it/dettagli/attodigara/115/analisi-di-terreno-e-sedimento-su-scoli-consorziali-scolo-bolzan.html</v>
      </c>
      <c r="U72" t="str">
        <f>""</f>
        <v/>
      </c>
      <c r="V72">
        <f>(SUBSTITUTE(Tabella1[[#This Row],[Importo di aggiudicazione]],".",","))-(SUBSTITUTE(  SUBSTITUTE(          SUBSTITUTE(Tabella1[[#This Row],[Dettaglio somme liquidate]],Tabella1[[#This Row],[CIG]]&amp;": [",""),"€ ]",""),".",","))</f>
        <v>9.9999999999909051E-2</v>
      </c>
    </row>
    <row r="73" spans="1:22" x14ac:dyDescent="0.3">
      <c r="A73" t="str">
        <f>"Affidamento"</f>
        <v>Affidamento</v>
      </c>
      <c r="B73" t="str">
        <f>"Manutenzione e riparazione mezzo con targa: ALA152"</f>
        <v>Manutenzione e riparazione mezzo con targa: ALA152</v>
      </c>
      <c r="C73" t="str">
        <f>"ZEE30740F1"</f>
        <v>ZEE30740F1</v>
      </c>
      <c r="D73" t="str">
        <f>"02/02/2021"</f>
        <v>02/02/2021</v>
      </c>
      <c r="E73" t="str">
        <f>""</f>
        <v/>
      </c>
      <c r="F73" t="str">
        <f>""</f>
        <v/>
      </c>
      <c r="G73" t="str">
        <f>"3171.36"</f>
        <v>3171.36</v>
      </c>
      <c r="H73" t="str">
        <f>"Consorzio di bonifica Bacchiglione"</f>
        <v>Consorzio di bonifica Bacchiglione</v>
      </c>
      <c r="I73" t="str">
        <f>"92223390284"</f>
        <v>92223390284</v>
      </c>
      <c r="J73" t="str">
        <f>"23-AFFIDAMENTO DIRETTO"</f>
        <v>23-AFFIDAMENTO DIRETTO</v>
      </c>
      <c r="K73" t="str">
        <f>"02/02/2021"</f>
        <v>02/02/2021</v>
      </c>
      <c r="L73" t="str">
        <f>"16/02/2021"</f>
        <v>16/02/2021</v>
      </c>
      <c r="M73" t="str">
        <f>""</f>
        <v/>
      </c>
      <c r="N73" t="str">
        <f>"Adriatica Commerciale Macchine s.r.l. Via dell'Artigianato 5 35020 Due Carrare PD"</f>
        <v>Adriatica Commerciale Macchine s.r.l. Via dell'Artigianato 5 35020 Due Carrare PD</v>
      </c>
      <c r="O73" t="str">
        <f>"Adriatica Commerciale Macchine s.r.l. Via dell'Artigianato 5 35020 Due Carrare PD"</f>
        <v>Adriatica Commerciale Macchine s.r.l. Via dell'Artigianato 5 35020 Due Carrare PD</v>
      </c>
      <c r="P73" t="str">
        <f>"ZEE30740F1: [3171.36€ ]"</f>
        <v>ZEE30740F1: [3171.36€ ]</v>
      </c>
      <c r="Q73" t="str">
        <f>""</f>
        <v/>
      </c>
      <c r="R73" t="str">
        <f>""</f>
        <v/>
      </c>
      <c r="S73" t="str">
        <f>""</f>
        <v/>
      </c>
      <c r="T73" t="str">
        <f>"https://portaletrasparenza.consorziobacchiglione.it/dettagli/attodigara/6601/manutenzione-e-riparazione-mezzo-con-targa-ala152.html"</f>
        <v>https://portaletrasparenza.consorziobacchiglione.it/dettagli/attodigara/6601/manutenzione-e-riparazione-mezzo-con-targa-ala152.html</v>
      </c>
      <c r="U73" t="str">
        <f>"https://portaletrasparenza.consorziobacchiglione.it/download/attodigara/6601/63ac4555bb960.PDF"</f>
        <v>https://portaletrasparenza.consorziobacchiglione.it/download/attodigara/6601/63ac4555bb960.PDF</v>
      </c>
      <c r="V7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4" spans="1:22" x14ac:dyDescent="0.3">
      <c r="A74" t="str">
        <f>"Affidamento"</f>
        <v>Affidamento</v>
      </c>
      <c r="B74" t="str">
        <f>"Noleggio Dumper cingolato per lavori presso scolo Menona"</f>
        <v>Noleggio Dumper cingolato per lavori presso scolo Menona</v>
      </c>
      <c r="C74" t="str">
        <f>"Z6E307836E"</f>
        <v>Z6E307836E</v>
      </c>
      <c r="D74" t="str">
        <f>"04/02/2021"</f>
        <v>04/02/2021</v>
      </c>
      <c r="E74" t="str">
        <f>""</f>
        <v/>
      </c>
      <c r="F74" t="str">
        <f>""</f>
        <v/>
      </c>
      <c r="G74" t="str">
        <f>"3400.00"</f>
        <v>3400.00</v>
      </c>
      <c r="H74" t="str">
        <f>"Consorzio di bonifica Bacchiglione"</f>
        <v>Consorzio di bonifica Bacchiglione</v>
      </c>
      <c r="I74" t="str">
        <f>"92223390284"</f>
        <v>92223390284</v>
      </c>
      <c r="J74" t="str">
        <f>"23-AFFIDAMENTO DIRETTO"</f>
        <v>23-AFFIDAMENTO DIRETTO</v>
      </c>
      <c r="K74" t="str">
        <f>"02/02/2021"</f>
        <v>02/02/2021</v>
      </c>
      <c r="L74" t="str">
        <f>"10/02/2021"</f>
        <v>10/02/2021</v>
      </c>
      <c r="M74" t="str">
        <f>""</f>
        <v/>
      </c>
      <c r="N74" t="str">
        <f>"Sorme s.n.c. Via Monache 21 35030 Selvazzano Dentro PD"</f>
        <v>Sorme s.n.c. Via Monache 21 35030 Selvazzano Dentro PD</v>
      </c>
      <c r="O74" t="str">
        <f>"Sorme s.n.c. Via Monache 21 35030 Selvazzano Dentro PD"</f>
        <v>Sorme s.n.c. Via Monache 21 35030 Selvazzano Dentro PD</v>
      </c>
      <c r="P74" t="str">
        <f>"Z6E307836E: [3400.00€ ]"</f>
        <v>Z6E307836E: [3400.00€ ]</v>
      </c>
      <c r="Q74" t="str">
        <f>""</f>
        <v/>
      </c>
      <c r="R74" t="str">
        <f>""</f>
        <v/>
      </c>
      <c r="S74" t="str">
        <f>""</f>
        <v/>
      </c>
      <c r="T74" t="str">
        <f>"https://portaletrasparenza.consorziobacchiglione.it/dettagli/attodigara/6603/noleggio-dumper-cingolato-per-lavori-presso-scolo-menona.html"</f>
        <v>https://portaletrasparenza.consorziobacchiglione.it/dettagli/attodigara/6603/noleggio-dumper-cingolato-per-lavori-presso-scolo-menona.html</v>
      </c>
      <c r="U74" t="str">
        <f>"https://portaletrasparenza.consorziobacchiglione.it/download/attodigara/6603/63ac455640d91.PDF"</f>
        <v>https://portaletrasparenza.consorziobacchiglione.it/download/attodigara/6603/63ac455640d91.PDF</v>
      </c>
      <c r="V7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5" spans="1:22" x14ac:dyDescent="0.3">
      <c r="A75" t="str">
        <f>"Affidamento"</f>
        <v>Affidamento</v>
      </c>
      <c r="B75" t="str">
        <f>"Sistemazione sifonamento presso Sostegno Bagatella e contestuale realizzazione del manufatto di regolazione su tubazione esistente in prossimità dell'Idrovora Assicurazioni Generali"</f>
        <v>Sistemazione sifonamento presso Sostegno Bagatella e contestuale realizzazione del manufatto di regolazione su tubazione esistente in prossimità dell'Idrovora Assicurazioni Generali</v>
      </c>
      <c r="C75" t="str">
        <f>"Z1930757EE"</f>
        <v>Z1930757EE</v>
      </c>
      <c r="D75" t="str">
        <f>"04/02/2021"</f>
        <v>04/02/2021</v>
      </c>
      <c r="E75" t="str">
        <f>""</f>
        <v/>
      </c>
      <c r="F75" t="str">
        <f>""</f>
        <v/>
      </c>
      <c r="G75" t="str">
        <f>"37991.02"</f>
        <v>37991.02</v>
      </c>
      <c r="H75" t="str">
        <f>"Consorzio di bonifica Bacchiglione"</f>
        <v>Consorzio di bonifica Bacchiglione</v>
      </c>
      <c r="I75" t="str">
        <f>"92223390284"</f>
        <v>92223390284</v>
      </c>
      <c r="J75" t="str">
        <f>"23-AFFIDAMENTO DIRETTO"</f>
        <v>23-AFFIDAMENTO DIRETTO</v>
      </c>
      <c r="K75" t="str">
        <f>"02/02/2021"</f>
        <v>02/02/2021</v>
      </c>
      <c r="L75" t="str">
        <f>"24/06/2021"</f>
        <v>24/06/2021</v>
      </c>
      <c r="M75" t="str">
        <f>""</f>
        <v/>
      </c>
      <c r="N75" t="str">
        <f>"C.E.V. Viale Madonna delle Grazie 7-2 35028 Piove di Sacco PD"</f>
        <v>C.E.V. Viale Madonna delle Grazie 7-2 35028 Piove di Sacco PD</v>
      </c>
      <c r="O75" t="str">
        <f>"C.E.V. Viale Madonna delle Grazie 7-2 35028 Piove di Sacco PD"</f>
        <v>C.E.V. Viale Madonna delle Grazie 7-2 35028 Piove di Sacco PD</v>
      </c>
      <c r="P75" t="str">
        <f>"Z1930757EE: [37991.02€ ]"</f>
        <v>Z1930757EE: [37991.02€ ]</v>
      </c>
      <c r="Q75" t="str">
        <f>""</f>
        <v/>
      </c>
      <c r="R75" t="str">
        <f>""</f>
        <v/>
      </c>
      <c r="S75" t="str">
        <f>""</f>
        <v/>
      </c>
      <c r="T75" t="s">
        <v>121</v>
      </c>
      <c r="U75" t="str">
        <f>"https://portaletrasparenza.consorziobacchiglione.it/download/attodigara/6602/63ac455600f01.PDF"</f>
        <v>https://portaletrasparenza.consorziobacchiglione.it/download/attodigara/6602/63ac455600f01.PDF</v>
      </c>
      <c r="V7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6" spans="1:22" x14ac:dyDescent="0.3">
      <c r="A76" t="str">
        <f>"Affidamento"</f>
        <v>Affidamento</v>
      </c>
      <c r="B76" t="str">
        <f>"Spostamento terreno da area racchiusa tra scolo Menona e Canella per innalzamento argine scolo Menona."</f>
        <v>Spostamento terreno da area racchiusa tra scolo Menona e Canella per innalzamento argine scolo Menona.</v>
      </c>
      <c r="C76" t="str">
        <f>"Z9918CC6A9"</f>
        <v>Z9918CC6A9</v>
      </c>
      <c r="D76" t="str">
        <f>"04/11/2021"</f>
        <v>04/11/2021</v>
      </c>
      <c r="E76" t="str">
        <f>""</f>
        <v/>
      </c>
      <c r="F76" t="str">
        <f>""</f>
        <v/>
      </c>
      <c r="G76" t="str">
        <f>"2612.50"</f>
        <v>2612.50</v>
      </c>
      <c r="H76" t="str">
        <f>"Consorzio di bonifica Bacchiglione"</f>
        <v>Consorzio di bonifica Bacchiglione</v>
      </c>
      <c r="I76" t="str">
        <f>"92223390284"</f>
        <v>92223390284</v>
      </c>
      <c r="J76" t="str">
        <f>"23-AFFIDAMENTO DIRETTO"</f>
        <v>23-AFFIDAMENTO DIRETTO</v>
      </c>
      <c r="K76" t="str">
        <f>"02/03/2021"</f>
        <v>02/03/2021</v>
      </c>
      <c r="L76" t="str">
        <f>"29/03/2021"</f>
        <v>29/03/2021</v>
      </c>
      <c r="M76" t="str">
        <f>""</f>
        <v/>
      </c>
      <c r="N76" t="str">
        <f>"Martini Luciano s.r.l. Via Bagnara Alta 1172 35030 VO PD"</f>
        <v>Martini Luciano s.r.l. Via Bagnara Alta 1172 35030 VO PD</v>
      </c>
      <c r="O76" t="str">
        <f>"Martini Luciano s.r.l. Via Bagnara Alta 1172 35030 VO PD"</f>
        <v>Martini Luciano s.r.l. Via Bagnara Alta 1172 35030 VO PD</v>
      </c>
      <c r="P76" t="str">
        <f>"Z9918CC6A9: [2612.50€ ]"</f>
        <v>Z9918CC6A9: [2612.50€ ]</v>
      </c>
      <c r="Q76" t="str">
        <f>""</f>
        <v/>
      </c>
      <c r="R76" t="str">
        <f>""</f>
        <v/>
      </c>
      <c r="S76" t="str">
        <f>""</f>
        <v/>
      </c>
      <c r="T76" t="str">
        <f>"https://portaletrasparenza.consorziobacchiglione.it/dettagli/attodigara/192/spostamento-terreno-da-area-racchiusa-tra-scolo-menona-e-canella-per-innalzamento-argine-scolo-menona.html"</f>
        <v>https://portaletrasparenza.consorziobacchiglione.it/dettagli/attodigara/192/spostamento-terreno-da-area-racchiusa-tra-scolo-menona-e-canella-per-innalzamento-argine-scolo-menona.html</v>
      </c>
      <c r="U76" t="str">
        <f>""</f>
        <v/>
      </c>
      <c r="V7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7" spans="1:22" x14ac:dyDescent="0.3">
      <c r="A77" t="str">
        <f>"Affidamento"</f>
        <v>Affidamento</v>
      </c>
      <c r="B77" t="str">
        <f>"Fornitura tettoia pensilina in alluminio plexiglas per casa custode porta Trento."</f>
        <v>Fornitura tettoia pensilina in alluminio plexiglas per casa custode porta Trento.</v>
      </c>
      <c r="C77" t="str">
        <f>"Z7E18CC449"</f>
        <v>Z7E18CC449</v>
      </c>
      <c r="D77" t="str">
        <f>"04/11/2021"</f>
        <v>04/11/2021</v>
      </c>
      <c r="E77" t="str">
        <f>""</f>
        <v/>
      </c>
      <c r="F77" t="str">
        <f>""</f>
        <v/>
      </c>
      <c r="G77" t="str">
        <f>"220.00"</f>
        <v>220.00</v>
      </c>
      <c r="H77" t="str">
        <f>"Consorzio di bonifica Bacchiglione"</f>
        <v>Consorzio di bonifica Bacchiglione</v>
      </c>
      <c r="I77" t="str">
        <f>"92223390284"</f>
        <v>92223390284</v>
      </c>
      <c r="J77" t="str">
        <f>"23-AFFIDAMENTO DIRETTO"</f>
        <v>23-AFFIDAMENTO DIRETTO</v>
      </c>
      <c r="K77" t="str">
        <f>"02/03/2021"</f>
        <v>02/03/2021</v>
      </c>
      <c r="L77" t="str">
        <f>"25/05/2021"</f>
        <v>25/05/2021</v>
      </c>
      <c r="M77" t="str">
        <f>""</f>
        <v/>
      </c>
      <c r="N77" t="str">
        <f>"Idronord s.r.l. Via delle Industrie 3C 30036 Santa Maria Di Sala VE"</f>
        <v>Idronord s.r.l. Via delle Industrie 3C 30036 Santa Maria Di Sala VE</v>
      </c>
      <c r="O77" t="str">
        <f>"Idronord s.r.l. Via delle Industrie 3C 30036 Santa Maria Di Sala VE"</f>
        <v>Idronord s.r.l. Via delle Industrie 3C 30036 Santa Maria Di Sala VE</v>
      </c>
      <c r="P77" t="str">
        <f>"Z7E18CC449: [220.00€ ]"</f>
        <v>Z7E18CC449: [220.00€ ]</v>
      </c>
      <c r="Q77" t="str">
        <f>""</f>
        <v/>
      </c>
      <c r="R77" t="str">
        <f>""</f>
        <v/>
      </c>
      <c r="S77" t="str">
        <f>""</f>
        <v/>
      </c>
      <c r="T77" t="str">
        <f>"https://portaletrasparenza.consorziobacchiglione.it/dettagli/attodigara/191/fornitura-tettoia-pensilina-in-alluminio-plexiglas-per-casa-custode-porta-trento.html"</f>
        <v>https://portaletrasparenza.consorziobacchiglione.it/dettagli/attodigara/191/fornitura-tettoia-pensilina-in-alluminio-plexiglas-per-casa-custode-porta-trento.html</v>
      </c>
      <c r="U77" t="str">
        <f>""</f>
        <v/>
      </c>
      <c r="V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8" spans="1:22" x14ac:dyDescent="0.3">
      <c r="A78" t="str">
        <f>"Affidamento"</f>
        <v>Affidamento</v>
      </c>
      <c r="B78" t="str">
        <f>"Fornitura calcestruzzo RCK 300 S4 per scolo Rialto."</f>
        <v>Fornitura calcestruzzo RCK 300 S4 per scolo Rialto.</v>
      </c>
      <c r="C78" t="str">
        <f>"ZD218CC365"</f>
        <v>ZD218CC365</v>
      </c>
      <c r="D78" t="str">
        <f>"04/11/2021"</f>
        <v>04/11/2021</v>
      </c>
      <c r="E78" t="str">
        <f>""</f>
        <v/>
      </c>
      <c r="F78" t="str">
        <f>""</f>
        <v/>
      </c>
      <c r="G78" t="str">
        <f>"341.50"</f>
        <v>341.50</v>
      </c>
      <c r="H78" t="str">
        <f>"Consorzio di bonifica Bacchiglione"</f>
        <v>Consorzio di bonifica Bacchiglione</v>
      </c>
      <c r="I78" t="str">
        <f>"92223390284"</f>
        <v>92223390284</v>
      </c>
      <c r="J78" t="str">
        <f>"23-AFFIDAMENTO DIRETTO"</f>
        <v>23-AFFIDAMENTO DIRETTO</v>
      </c>
      <c r="K78" t="str">
        <f>"02/03/2021"</f>
        <v>02/03/2021</v>
      </c>
      <c r="L78" t="str">
        <f>"29/03/2021"</f>
        <v>29/03/2021</v>
      </c>
      <c r="M78" t="str">
        <f>""</f>
        <v/>
      </c>
      <c r="N78" t="str">
        <f>"Zagolin Giovanni s.r.l. Via Gelsi 56 35028 Piove di Sacco PD"</f>
        <v>Zagolin Giovanni s.r.l. Via Gelsi 56 35028 Piove di Sacco PD</v>
      </c>
      <c r="O78" t="str">
        <f>"Zagolin Giovanni s.r.l. Via Gelsi 56 35028 Piove di Sacco PD"</f>
        <v>Zagolin Giovanni s.r.l. Via Gelsi 56 35028 Piove di Sacco PD</v>
      </c>
      <c r="P78" t="str">
        <f>"ZD218CC365: [341.50€ ]"</f>
        <v>ZD218CC365: [341.50€ ]</v>
      </c>
      <c r="Q78" t="str">
        <f>""</f>
        <v/>
      </c>
      <c r="R78" t="str">
        <f>""</f>
        <v/>
      </c>
      <c r="S78" t="str">
        <f>""</f>
        <v/>
      </c>
      <c r="T78" t="str">
        <f>"https://portaletrasparenza.consorziobacchiglione.it/dettagli/attodigara/190/fornitura-calcestruzzo-rck-300-s4-per-scolo-rialto.html"</f>
        <v>https://portaletrasparenza.consorziobacchiglione.it/dettagli/attodigara/190/fornitura-calcestruzzo-rck-300-s4-per-scolo-rialto.html</v>
      </c>
      <c r="U78" t="str">
        <f>""</f>
        <v/>
      </c>
      <c r="V7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9" spans="1:22" x14ac:dyDescent="0.3">
      <c r="A79" t="str">
        <f>"Affidamento"</f>
        <v>Affidamento</v>
      </c>
      <c r="B79" t="str">
        <f>"Noleggio escavatore cingolato Hitachi ZX 210 braccio lungo per lavori su scolo Biancolino e Bolzan."</f>
        <v>Noleggio escavatore cingolato Hitachi ZX 210 braccio lungo per lavori su scolo Biancolino e Bolzan.</v>
      </c>
      <c r="C79" t="str">
        <f>"Z1B18CC122"</f>
        <v>Z1B18CC122</v>
      </c>
      <c r="D79" t="str">
        <f>"04/11/2021"</f>
        <v>04/11/2021</v>
      </c>
      <c r="E79" t="str">
        <f>""</f>
        <v/>
      </c>
      <c r="F79" t="str">
        <f>""</f>
        <v/>
      </c>
      <c r="G79" t="str">
        <f>"3960.00"</f>
        <v>3960.00</v>
      </c>
      <c r="H79" t="str">
        <f>"Consorzio di bonifica Bacchiglione"</f>
        <v>Consorzio di bonifica Bacchiglione</v>
      </c>
      <c r="I79" t="str">
        <f>"92223390284"</f>
        <v>92223390284</v>
      </c>
      <c r="J79" t="str">
        <f>"23-AFFIDAMENTO DIRETTO"</f>
        <v>23-AFFIDAMENTO DIRETTO</v>
      </c>
      <c r="K79" t="str">
        <f>"02/03/2021"</f>
        <v>02/03/2021</v>
      </c>
      <c r="L79" t="str">
        <f>"14/04/2021"</f>
        <v>14/04/2021</v>
      </c>
      <c r="M79" t="str">
        <f>""</f>
        <v/>
      </c>
      <c r="N79" t="str">
        <f>"Sorme Noleggi s.a.s. Via Monache 21 35030 Selvazzano Dentro PD"</f>
        <v>Sorme Noleggi s.a.s. Via Monache 21 35030 Selvazzano Dentro PD</v>
      </c>
      <c r="O79" t="str">
        <f>"Sorme Noleggi s.a.s. Via Monache 21 35030 Selvazzano Dentro PD"</f>
        <v>Sorme Noleggi s.a.s. Via Monache 21 35030 Selvazzano Dentro PD</v>
      </c>
      <c r="P79" t="str">
        <f>"Z1B18CC122: [3960.00€ ]"</f>
        <v>Z1B18CC122: [3960.00€ ]</v>
      </c>
      <c r="Q79" t="str">
        <f>""</f>
        <v/>
      </c>
      <c r="R79" t="str">
        <f>""</f>
        <v/>
      </c>
      <c r="S79" t="str">
        <f>""</f>
        <v/>
      </c>
      <c r="T79" t="str">
        <f>"https://portaletrasparenza.consorziobacchiglione.it/dettagli/attodigara/189/noleggio-escavatore-cingolato-hitachi-zx-210-braccio-lungo-per-lavori-su-scolo-biancolino-e-bolzan.html"</f>
        <v>https://portaletrasparenza.consorziobacchiglione.it/dettagli/attodigara/189/noleggio-escavatore-cingolato-hitachi-zx-210-braccio-lungo-per-lavori-su-scolo-biancolino-e-bolzan.html</v>
      </c>
      <c r="U79" t="str">
        <f>""</f>
        <v/>
      </c>
      <c r="V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0" spans="1:22" x14ac:dyDescent="0.3">
      <c r="A80" t="str">
        <f>"Affidamento"</f>
        <v>Affidamento</v>
      </c>
      <c r="B80" t="str">
        <f>"Fornitura n.20 pantaloni più n. 10 stivali antinfortunistici S5 per personale esterno"</f>
        <v>Fornitura n.20 pantaloni più n. 10 stivali antinfortunistici S5 per personale esterno</v>
      </c>
      <c r="C80" t="str">
        <f>"Z8930D7F56"</f>
        <v>Z8930D7F56</v>
      </c>
      <c r="D80" t="str">
        <f>"02/03/2021"</f>
        <v>02/03/2021</v>
      </c>
      <c r="E80" t="str">
        <f>""</f>
        <v/>
      </c>
      <c r="F80" t="str">
        <f>""</f>
        <v/>
      </c>
      <c r="G80" t="str">
        <f>"648.00"</f>
        <v>648.00</v>
      </c>
      <c r="H80" t="str">
        <f>"Consorzio di bonifica Bacchiglione"</f>
        <v>Consorzio di bonifica Bacchiglione</v>
      </c>
      <c r="I80" t="str">
        <f>"92223390284"</f>
        <v>92223390284</v>
      </c>
      <c r="J80" t="str">
        <f>"23-AFFIDAMENTO DIRETTO"</f>
        <v>23-AFFIDAMENTO DIRETTO</v>
      </c>
      <c r="K80" t="str">
        <f>"02/03/2021"</f>
        <v>02/03/2021</v>
      </c>
      <c r="L80" t="str">
        <f>"26/03/2021"</f>
        <v>26/03/2021</v>
      </c>
      <c r="M80" t="str">
        <f>""</f>
        <v/>
      </c>
      <c r="N80" t="str">
        <f>"Chinello antinfortunistica via Padana 34 Z.I. Vigorovea di S.Angelo di Piove di Sacco PD"</f>
        <v>Chinello antinfortunistica via Padana 34 Z.I. Vigorovea di S.Angelo di Piove di Sacco PD</v>
      </c>
      <c r="O80" t="str">
        <f>"Chinello antinfortunistica via Padana 34 Z.I. Vigorovea di S.Angelo di Piove di Sacco PD"</f>
        <v>Chinello antinfortunistica via Padana 34 Z.I. Vigorovea di S.Angelo di Piove di Sacco PD</v>
      </c>
      <c r="P80" t="str">
        <f>"Z8930D7F56: [648.00€ ]"</f>
        <v>Z8930D7F56: [648.00€ ]</v>
      </c>
      <c r="Q80" t="str">
        <f>""</f>
        <v/>
      </c>
      <c r="R80" t="str">
        <f>""</f>
        <v/>
      </c>
      <c r="S80" t="str">
        <f>""</f>
        <v/>
      </c>
      <c r="T80" t="str">
        <f>"https://portaletrasparenza.consorziobacchiglione.it/dettagli/attodigara/6670/fornitura-n-20-pantaloni-piu-n-10-stivali-antinfortunistici-s5-per-personale-esterno.html"</f>
        <v>https://portaletrasparenza.consorziobacchiglione.it/dettagli/attodigara/6670/fornitura-n-20-pantaloni-piu-n-10-stivali-antinfortunistici-s5-per-personale-esterno.html</v>
      </c>
      <c r="U80" t="str">
        <f>"https://portaletrasparenza.consorziobacchiglione.it/download/attodigara/6670/63ac45647a561.PDF"</f>
        <v>https://portaletrasparenza.consorziobacchiglione.it/download/attodigara/6670/63ac45647a561.PDF</v>
      </c>
      <c r="V8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1" spans="1:22" x14ac:dyDescent="0.3">
      <c r="A81" t="str">
        <f>"Affidamento"</f>
        <v>Affidamento</v>
      </c>
      <c r="B81" t="str">
        <f>"Noleggio Dumper cingolato TCR50 per lavori presso scolo Menona"</f>
        <v>Noleggio Dumper cingolato TCR50 per lavori presso scolo Menona</v>
      </c>
      <c r="C81" t="str">
        <f>"Z0530D7D18"</f>
        <v>Z0530D7D18</v>
      </c>
      <c r="D81" t="str">
        <f>"02/03/2021"</f>
        <v>02/03/2021</v>
      </c>
      <c r="E81" t="str">
        <f>""</f>
        <v/>
      </c>
      <c r="F81" t="str">
        <f>""</f>
        <v/>
      </c>
      <c r="G81" t="str">
        <f>"2250.00"</f>
        <v>2250.00</v>
      </c>
      <c r="H81" t="str">
        <f>"Consorzio di bonifica Bacchiglione"</f>
        <v>Consorzio di bonifica Bacchiglione</v>
      </c>
      <c r="I81" t="str">
        <f>"92223390284"</f>
        <v>92223390284</v>
      </c>
      <c r="J81" t="str">
        <f>"23-AFFIDAMENTO DIRETTO"</f>
        <v>23-AFFIDAMENTO DIRETTO</v>
      </c>
      <c r="K81" t="str">
        <f>"02/03/2021"</f>
        <v>02/03/2021</v>
      </c>
      <c r="L81" t="str">
        <f>"08/03/2021"</f>
        <v>08/03/2021</v>
      </c>
      <c r="M81" t="str">
        <f>""</f>
        <v/>
      </c>
      <c r="N81" t="str">
        <f>"Sorme s.n.c. Via Monache 21 35030 Selvazzano Dentro PD"</f>
        <v>Sorme s.n.c. Via Monache 21 35030 Selvazzano Dentro PD</v>
      </c>
      <c r="O81" t="str">
        <f>"Sorme s.n.c. Via Monache 21 35030 Selvazzano Dentro PD"</f>
        <v>Sorme s.n.c. Via Monache 21 35030 Selvazzano Dentro PD</v>
      </c>
      <c r="P81" t="str">
        <f>"Z0530D7D18: [2250.00€ ]"</f>
        <v>Z0530D7D18: [2250.00€ ]</v>
      </c>
      <c r="Q81" t="str">
        <f>""</f>
        <v/>
      </c>
      <c r="R81" t="str">
        <f>""</f>
        <v/>
      </c>
      <c r="S81" t="str">
        <f>""</f>
        <v/>
      </c>
      <c r="T81" t="str">
        <f>"https://portaletrasparenza.consorziobacchiglione.it/dettagli/attodigara/6669/noleggio-dumper-cingolato-tcr50-per-lavori-presso-scolo-menona.html"</f>
        <v>https://portaletrasparenza.consorziobacchiglione.it/dettagli/attodigara/6669/noleggio-dumper-cingolato-tcr50-per-lavori-presso-scolo-menona.html</v>
      </c>
      <c r="U81" t="str">
        <f>"https://portaletrasparenza.consorziobacchiglione.it/download/attodigara/6669/63ac456441c0c.PDF"</f>
        <v>https://portaletrasparenza.consorziobacchiglione.it/download/attodigara/6669/63ac456441c0c.PDF</v>
      </c>
      <c r="V8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2" spans="1:22" x14ac:dyDescent="0.3">
      <c r="A82" t="str">
        <f>"Affidamento"</f>
        <v>Affidamento</v>
      </c>
      <c r="B82" t="str">
        <f>"Sostituzione n. 6 pneumatici del mezzo con targa: FF974PM"</f>
        <v>Sostituzione n. 6 pneumatici del mezzo con targa: FF974PM</v>
      </c>
      <c r="C82" t="str">
        <f>"Z6730CAC32"</f>
        <v>Z6730CAC32</v>
      </c>
      <c r="D82" t="str">
        <f>"02/03/2021"</f>
        <v>02/03/2021</v>
      </c>
      <c r="E82" t="str">
        <f>""</f>
        <v/>
      </c>
      <c r="F82" t="str">
        <f>""</f>
        <v/>
      </c>
      <c r="G82" t="str">
        <f>"796.60"</f>
        <v>796.60</v>
      </c>
      <c r="H82" t="str">
        <f>"Consorzio di bonifica Bacchiglione"</f>
        <v>Consorzio di bonifica Bacchiglione</v>
      </c>
      <c r="I82" t="str">
        <f>"92223390284"</f>
        <v>92223390284</v>
      </c>
      <c r="J82" t="str">
        <f>"23-AFFIDAMENTO DIRETTO"</f>
        <v>23-AFFIDAMENTO DIRETTO</v>
      </c>
      <c r="K82" t="str">
        <f>"02/03/2021"</f>
        <v>02/03/2021</v>
      </c>
      <c r="L82" t="str">
        <f>"31/03/2021"</f>
        <v>31/03/2021</v>
      </c>
      <c r="M82" t="str">
        <f>""</f>
        <v/>
      </c>
      <c r="N82" t="str">
        <f>"Ri.gom.ma S.R.L. Via Orlando, 47 - 30173 Campalto (VE)"</f>
        <v>Ri.gom.ma S.R.L. Via Orlando, 47 - 30173 Campalto (VE)</v>
      </c>
      <c r="O82" t="str">
        <f>"Ri.gom.ma S.R.L. Via Orlando, 47 - 30173 Campalto (VE)"</f>
        <v>Ri.gom.ma S.R.L. Via Orlando, 47 - 30173 Campalto (VE)</v>
      </c>
      <c r="P82" t="str">
        <f>"Z6730CAC32: [796.60€ ]"</f>
        <v>Z6730CAC32: [796.60€ ]</v>
      </c>
      <c r="Q82" t="str">
        <f>""</f>
        <v/>
      </c>
      <c r="R82" t="str">
        <f>""</f>
        <v/>
      </c>
      <c r="S82" t="str">
        <f>""</f>
        <v/>
      </c>
      <c r="T82" t="str">
        <f>"https://portaletrasparenza.consorziobacchiglione.it/dettagli/attodigara/6668/sostituzione-n-6-pneumatici-del-mezzo-con-targa-ff974pm.html"</f>
        <v>https://portaletrasparenza.consorziobacchiglione.it/dettagli/attodigara/6668/sostituzione-n-6-pneumatici-del-mezzo-con-targa-ff974pm.html</v>
      </c>
      <c r="U82" t="str">
        <f>"https://portaletrasparenza.consorziobacchiglione.it/download/attodigara/6668/63ac4563c51d8.PDF"</f>
        <v>https://portaletrasparenza.consorziobacchiglione.it/download/attodigara/6668/63ac4563c51d8.PDF</v>
      </c>
      <c r="V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3" spans="1:22" x14ac:dyDescent="0.3">
      <c r="A83" t="str">
        <f>"Affidamento"</f>
        <v>Affidamento</v>
      </c>
      <c r="B83" t="str">
        <f>"Manutenzione e riparazione mezzo con targa: FF974PM"</f>
        <v>Manutenzione e riparazione mezzo con targa: FF974PM</v>
      </c>
      <c r="C83" t="str">
        <f>"ZDB30D6D3D"</f>
        <v>ZDB30D6D3D</v>
      </c>
      <c r="D83" t="str">
        <f>"02/03/2021"</f>
        <v>02/03/2021</v>
      </c>
      <c r="E83" t="str">
        <f>""</f>
        <v/>
      </c>
      <c r="F83" t="str">
        <f>""</f>
        <v/>
      </c>
      <c r="G83" t="str">
        <f>"606.77"</f>
        <v>606.77</v>
      </c>
      <c r="H83" t="str">
        <f>"Consorzio di bonifica Bacchiglione"</f>
        <v>Consorzio di bonifica Bacchiglione</v>
      </c>
      <c r="I83" t="str">
        <f>"92223390284"</f>
        <v>92223390284</v>
      </c>
      <c r="J83" t="str">
        <f>"23-AFFIDAMENTO DIRETTO"</f>
        <v>23-AFFIDAMENTO DIRETTO</v>
      </c>
      <c r="K83" t="str">
        <f>"02/03/2021"</f>
        <v>02/03/2021</v>
      </c>
      <c r="L83" t="str">
        <f>"24/03/2021"</f>
        <v>24/03/2021</v>
      </c>
      <c r="M83" t="str">
        <f>""</f>
        <v/>
      </c>
      <c r="N83" t="str">
        <f>"Officina Autotreni Carraro Franco srl Via Gelsi 79 35028 Piove di Sacco PD"</f>
        <v>Officina Autotreni Carraro Franco srl Via Gelsi 79 35028 Piove di Sacco PD</v>
      </c>
      <c r="O83" t="str">
        <f>"Officina Autotreni Carraro Franco srl Via Gelsi 79 35028 Piove di Sacco PD"</f>
        <v>Officina Autotreni Carraro Franco srl Via Gelsi 79 35028 Piove di Sacco PD</v>
      </c>
      <c r="P83" t="str">
        <f>"ZDB30D6D3D: [606.77€ ]"</f>
        <v>ZDB30D6D3D: [606.77€ ]</v>
      </c>
      <c r="Q83" t="str">
        <f>""</f>
        <v/>
      </c>
      <c r="R83" t="str">
        <f>""</f>
        <v/>
      </c>
      <c r="S83" t="str">
        <f>""</f>
        <v/>
      </c>
      <c r="T83" t="str">
        <f>"https://portaletrasparenza.consorziobacchiglione.it/dettagli/attodigara/6667/manutenzione-e-riparazione-mezzo-con-targa-ff974pm.html"</f>
        <v>https://portaletrasparenza.consorziobacchiglione.it/dettagli/attodigara/6667/manutenzione-e-riparazione-mezzo-con-targa-ff974pm.html</v>
      </c>
      <c r="U83" t="str">
        <f>"https://portaletrasparenza.consorziobacchiglione.it/download/attodigara/6667/63ac456409681.PDF"</f>
        <v>https://portaletrasparenza.consorziobacchiglione.it/download/attodigara/6667/63ac456409681.PDF</v>
      </c>
      <c r="V8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4" spans="1:22" x14ac:dyDescent="0.3">
      <c r="A84" t="str">
        <f>"Affidamento"</f>
        <v>Affidamento</v>
      </c>
      <c r="B84" t="str">
        <f>"Manutenzione e riparazione mezzo con targa: AKA712"</f>
        <v>Manutenzione e riparazione mezzo con targa: AKA712</v>
      </c>
      <c r="C84" t="str">
        <f>"ZC130D6B22"</f>
        <v>ZC130D6B22</v>
      </c>
      <c r="D84" t="str">
        <f>"02/03/2021"</f>
        <v>02/03/2021</v>
      </c>
      <c r="E84" t="str">
        <f>""</f>
        <v/>
      </c>
      <c r="F84" t="str">
        <f>""</f>
        <v/>
      </c>
      <c r="G84" t="str">
        <f>"6308.38"</f>
        <v>6308.38</v>
      </c>
      <c r="H84" t="str">
        <f>"Consorzio di bonifica Bacchiglione"</f>
        <v>Consorzio di bonifica Bacchiglione</v>
      </c>
      <c r="I84" t="str">
        <f>"92223390284"</f>
        <v>92223390284</v>
      </c>
      <c r="J84" t="str">
        <f>"23-AFFIDAMENTO DIRETTO"</f>
        <v>23-AFFIDAMENTO DIRETTO</v>
      </c>
      <c r="K84" t="str">
        <f>"02/03/2021"</f>
        <v>02/03/2021</v>
      </c>
      <c r="L84" t="str">
        <f>"04/06/2021"</f>
        <v>04/06/2021</v>
      </c>
      <c r="M84" t="str">
        <f>""</f>
        <v/>
      </c>
      <c r="N84" t="str">
        <f>"Adriatica Commerciale Macchine s.r.l. Via dell'Artigianato 5 35020 Due Carrare PD"</f>
        <v>Adriatica Commerciale Macchine s.r.l. Via dell'Artigianato 5 35020 Due Carrare PD</v>
      </c>
      <c r="O84" t="str">
        <f>"Adriatica Commerciale Macchine s.r.l. Via dell'Artigianato 5 35020 Due Carrare PD"</f>
        <v>Adriatica Commerciale Macchine s.r.l. Via dell'Artigianato 5 35020 Due Carrare PD</v>
      </c>
      <c r="P84" t="str">
        <f>"ZC130D6B22: [6308.38€ ]"</f>
        <v>ZC130D6B22: [6308.38€ ]</v>
      </c>
      <c r="Q84" t="str">
        <f>""</f>
        <v/>
      </c>
      <c r="R84" t="str">
        <f>""</f>
        <v/>
      </c>
      <c r="S84" t="str">
        <f>""</f>
        <v/>
      </c>
      <c r="T84" t="str">
        <f>"https://portaletrasparenza.consorziobacchiglione.it/dettagli/attodigara/6666/manutenzione-e-riparazione-mezzo-con-targa-aka712.html"</f>
        <v>https://portaletrasparenza.consorziobacchiglione.it/dettagli/attodigara/6666/manutenzione-e-riparazione-mezzo-con-targa-aka712.html</v>
      </c>
      <c r="U84" t="str">
        <f>"https://portaletrasparenza.consorziobacchiglione.it/download/attodigara/6666/63ac45638ccfd.PDF"</f>
        <v>https://portaletrasparenza.consorziobacchiglione.it/download/attodigara/6666/63ac45638ccfd.PDF</v>
      </c>
      <c r="V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5" spans="1:22" x14ac:dyDescent="0.3">
      <c r="A85" t="str">
        <f>"Affidamento"</f>
        <v>Affidamento</v>
      </c>
      <c r="B85" t="str">
        <f>"Affidamento servizio di manutenzione e assistenza del software di gestione della banca dati consortile per il biennio 2021-2022, con opzione di estensione per una ulteriore annualità."</f>
        <v>Affidamento servizio di manutenzione e assistenza del software di gestione della banca dati consortile per il biennio 2021-2022, con opzione di estensione per una ulteriore annualità.</v>
      </c>
      <c r="C85" t="str">
        <f>"ZD730D8F75"</f>
        <v>ZD730D8F75</v>
      </c>
      <c r="D85" t="str">
        <f>"02/03/2021"</f>
        <v>02/03/2021</v>
      </c>
      <c r="E85" t="str">
        <f>""</f>
        <v/>
      </c>
      <c r="F85" t="str">
        <f>""</f>
        <v/>
      </c>
      <c r="G85" t="str">
        <f>"22500.00"</f>
        <v>22500.00</v>
      </c>
      <c r="H85" t="str">
        <f>"Consorzio di bonifica Bacchiglione"</f>
        <v>Consorzio di bonifica Bacchiglione</v>
      </c>
      <c r="I85" t="str">
        <f>"92223390284"</f>
        <v>92223390284</v>
      </c>
      <c r="J85" t="str">
        <f>"23-AFFIDAMENTO DIRETTO"</f>
        <v>23-AFFIDAMENTO DIRETTO</v>
      </c>
      <c r="K85" t="str">
        <f>"02/03/2021"</f>
        <v>02/03/2021</v>
      </c>
      <c r="L85" t="str">
        <f>"31/12/2022"</f>
        <v>31/12/2022</v>
      </c>
      <c r="M85" t="str">
        <f>""</f>
        <v/>
      </c>
      <c r="N85" t="str">
        <f>"I4 CONSULTING S.R.L."</f>
        <v>I4 CONSULTING S.R.L.</v>
      </c>
      <c r="O85" t="str">
        <f>"I4 CONSULTING S.R.L."</f>
        <v>I4 CONSULTING S.R.L.</v>
      </c>
      <c r="P85" t="str">
        <f>"ZD730D8F75: [0.00€ ]"</f>
        <v>ZD730D8F75: [0.00€ ]</v>
      </c>
      <c r="Q85" t="str">
        <f>""</f>
        <v/>
      </c>
      <c r="R85" t="str">
        <f>""</f>
        <v/>
      </c>
      <c r="S85" t="str">
        <f>""</f>
        <v/>
      </c>
      <c r="T85" t="s">
        <v>112</v>
      </c>
      <c r="U85" t="str">
        <f>"https://portaletrasparenza.consorziobacchiglione.it/download/attodigara/6665/62a209934f8a3.PDF"</f>
        <v>https://portaletrasparenza.consorziobacchiglione.it/download/attodigara/6665/62a209934f8a3.PDF</v>
      </c>
      <c r="V85">
        <f>(SUBSTITUTE(Tabella1[[#This Row],[Importo di aggiudicazione]],".",","))-(SUBSTITUTE(  SUBSTITUTE(          SUBSTITUTE(Tabella1[[#This Row],[Dettaglio somme liquidate]],Tabella1[[#This Row],[CIG]]&amp;": [",""),"€ ]",""),".",","))</f>
        <v>22500</v>
      </c>
    </row>
    <row r="86" spans="1:22" x14ac:dyDescent="0.3">
      <c r="A86" t="str">
        <f>"Affidamento"</f>
        <v>Affidamento</v>
      </c>
      <c r="B86" t="str">
        <f>"Lavori di escavo, trasporto e conferimento a discarica del materiale derivante da lavori di espurgo dello scolo interno di Casalserugo, in comune di Casalserugo (PD)"</f>
        <v>Lavori di escavo, trasporto e conferimento a discarica del materiale derivante da lavori di espurgo dello scolo interno di Casalserugo, in comune di Casalserugo (PD)</v>
      </c>
      <c r="C86" t="str">
        <f>"ZD23136262"</f>
        <v>ZD23136262</v>
      </c>
      <c r="D86" t="str">
        <f>"06/04/2021"</f>
        <v>06/04/2021</v>
      </c>
      <c r="E86" t="str">
        <f>""</f>
        <v/>
      </c>
      <c r="F86" t="str">
        <f>""</f>
        <v/>
      </c>
      <c r="G86" t="str">
        <f>"37789.58"</f>
        <v>37789.58</v>
      </c>
      <c r="H86" t="str">
        <f>"Consorzio di bonifica Bacchiglione"</f>
        <v>Consorzio di bonifica Bacchiglione</v>
      </c>
      <c r="I86" t="str">
        <f>"92223390284"</f>
        <v>92223390284</v>
      </c>
      <c r="J86" t="str">
        <f>"23-AFFIDAMENTO DIRETTO"</f>
        <v>23-AFFIDAMENTO DIRETTO</v>
      </c>
      <c r="K86" t="str">
        <f>"02/04/2021"</f>
        <v>02/04/2021</v>
      </c>
      <c r="L86" t="str">
        <f>"28/09/2021"</f>
        <v>28/09/2021</v>
      </c>
      <c r="M86" t="str">
        <f>""</f>
        <v/>
      </c>
      <c r="N86" t="str">
        <f>"Ferrara Vittorio Via Frignolo 23C 35020 Conche di Codevigo PD | Spunton impianti S.r.l. Via S.S. Romea 37c 45014 Porto Viro RO | V.P.S. srl Via Morandina 3 - 35020 Codevigo (PD)"</f>
        <v>Ferrara Vittorio Via Frignolo 23C 35020 Conche di Codevigo PD | Spunton impianti S.r.l. Via S.S. Romea 37c 45014 Porto Viro RO | V.P.S. srl Via Morandina 3 - 35020 Codevigo (PD)</v>
      </c>
      <c r="O86" t="str">
        <f>"V.P.S. srl Via Morandina 3 - 35020 Codevigo (PD)"</f>
        <v>V.P.S. srl Via Morandina 3 - 35020 Codevigo (PD)</v>
      </c>
      <c r="P86" t="s">
        <v>148</v>
      </c>
      <c r="Q86" t="str">
        <f>""</f>
        <v/>
      </c>
      <c r="R86" t="str">
        <f>""</f>
        <v/>
      </c>
      <c r="S86" t="str">
        <f>""</f>
        <v/>
      </c>
      <c r="T86" t="str">
        <f>"https://portaletrasparenza.consorziobacchiglione.it/dettagli/attodigara/6765/lavori-di-escavo-trasporto-e-conferimento-a-discarica-del-materiale-derivante-da-lavori-di-espurgo-dello-scolo-interno-di-casalserugo-in-comune-di-casalserugo-pd.html"</f>
        <v>https://portaletrasparenza.consorziobacchiglione.it/dettagli/attodigara/6765/lavori-di-escavo-trasporto-e-conferimento-a-discarica-del-materiale-derivante-da-lavori-di-espurgo-dello-scolo-interno-di-casalserugo-in-comune-di-casalserugo-pd.html</v>
      </c>
      <c r="U86" t="str">
        <f>"https://portaletrasparenza.consorziobacchiglione.it/download/attodigara/6765/63ac45780a297.PDF"</f>
        <v>https://portaletrasparenza.consorziobacchiglione.it/download/attodigara/6765/63ac45780a297.PDF</v>
      </c>
      <c r="V8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7" spans="1:22" x14ac:dyDescent="0.3">
      <c r="A87" t="str">
        <f>"Affidamento"</f>
        <v>Affidamento</v>
      </c>
      <c r="B87" t="str">
        <f>"Lavori di tinteggiatura interna ed esterna dell'impianto idrovoro Madonnetta in comune di Due Carrare"</f>
        <v>Lavori di tinteggiatura interna ed esterna dell'impianto idrovoro Madonnetta in comune di Due Carrare</v>
      </c>
      <c r="C87" t="str">
        <f>"Z153136077"</f>
        <v>Z153136077</v>
      </c>
      <c r="D87" t="str">
        <f>"06/04/2021"</f>
        <v>06/04/2021</v>
      </c>
      <c r="E87" t="str">
        <f>""</f>
        <v/>
      </c>
      <c r="F87" t="str">
        <f>""</f>
        <v/>
      </c>
      <c r="G87" t="str">
        <f>"14823.71"</f>
        <v>14823.71</v>
      </c>
      <c r="H87" t="str">
        <f>"Consorzio di bonifica Bacchiglione"</f>
        <v>Consorzio di bonifica Bacchiglione</v>
      </c>
      <c r="I87" t="str">
        <f>"92223390284"</f>
        <v>92223390284</v>
      </c>
      <c r="J87" t="str">
        <f>"23-AFFIDAMENTO DIRETTO"</f>
        <v>23-AFFIDAMENTO DIRETTO</v>
      </c>
      <c r="K87" t="str">
        <f>"02/04/2021"</f>
        <v>02/04/2021</v>
      </c>
      <c r="L87" t="str">
        <f>"06/10/2021"</f>
        <v>06/10/2021</v>
      </c>
      <c r="M87" t="str">
        <f>""</f>
        <v/>
      </c>
      <c r="N87" t="str">
        <f>"Serma Costruzioni S.r.l. via Mioranese 343 - 30174 (VE) | Fassa E P. s.r.l. Via Pino da Zara, 74, 31050 Vascon TV | Romagnosi Maurizio Via Bassa, 105 35020 Arzergrande (PD)"</f>
        <v>Serma Costruzioni S.r.l. via Mioranese 343 - 30174 (VE) | Fassa E P. s.r.l. Via Pino da Zara, 74, 31050 Vascon TV | Romagnosi Maurizio Via Bassa, 105 35020 Arzergrande (PD)</v>
      </c>
      <c r="O87" t="str">
        <f>"Romagnosi Maurizio Via Bassa, 105 35020 Arzergrande (PD)"</f>
        <v>Romagnosi Maurizio Via Bassa, 105 35020 Arzergrande (PD)</v>
      </c>
      <c r="P87" t="s">
        <v>155</v>
      </c>
      <c r="Q87" t="str">
        <f>""</f>
        <v/>
      </c>
      <c r="R87" t="str">
        <f>""</f>
        <v/>
      </c>
      <c r="S87" t="str">
        <f>""</f>
        <v/>
      </c>
      <c r="T87" t="str">
        <f>"https://portaletrasparenza.consorziobacchiglione.it/dettagli/attodigara/6766/lavori-di-tinteggiatura-interna-ed-esterna-dell-impianto-idrovoro-madonnetta-in-comune-di-due-carrare.html"</f>
        <v>https://portaletrasparenza.consorziobacchiglione.it/dettagli/attodigara/6766/lavori-di-tinteggiatura-interna-ed-esterna-dell-impianto-idrovoro-madonnetta-in-comune-di-due-carrare.html</v>
      </c>
      <c r="U87" t="str">
        <f>"https://portaletrasparenza.consorziobacchiglione.it/download/attodigara/6766/63ac457842b15.PDF"</f>
        <v>https://portaletrasparenza.consorziobacchiglione.it/download/attodigara/6766/63ac457842b15.PDF</v>
      </c>
      <c r="V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8" spans="1:22" x14ac:dyDescent="0.3">
      <c r="A88" t="str">
        <f>"Affidamento"</f>
        <v>Affidamento</v>
      </c>
      <c r="B88" t="str">
        <f>"Adescamento sifoni ed espurgo tombinature consorziali all interno dei Bacini Sesta Presa, Settima Presa, Delta e Foci Brenta - Anni 2021 - 2022"</f>
        <v>Adescamento sifoni ed espurgo tombinature consorziali all interno dei Bacini Sesta Presa, Settima Presa, Delta e Foci Brenta - Anni 2021 - 2022</v>
      </c>
      <c r="C88" t="str">
        <f>"ZA8313541F"</f>
        <v>ZA8313541F</v>
      </c>
      <c r="D88" t="str">
        <f>"06/04/2021"</f>
        <v>06/04/2021</v>
      </c>
      <c r="E88" t="str">
        <f>""</f>
        <v/>
      </c>
      <c r="F88" t="str">
        <f>""</f>
        <v/>
      </c>
      <c r="G88" t="str">
        <f>"12295.08"</f>
        <v>12295.08</v>
      </c>
      <c r="H88" t="str">
        <f>"Consorzio di bonifica Bacchiglione"</f>
        <v>Consorzio di bonifica Bacchiglione</v>
      </c>
      <c r="I88" t="str">
        <f>"92223390284"</f>
        <v>92223390284</v>
      </c>
      <c r="J88" t="str">
        <f>"23-AFFIDAMENTO DIRETTO"</f>
        <v>23-AFFIDAMENTO DIRETTO</v>
      </c>
      <c r="K88" t="str">
        <f>"02/04/2021"</f>
        <v>02/04/2021</v>
      </c>
      <c r="L88" t="str">
        <f>"31/05/2023"</f>
        <v>31/05/2023</v>
      </c>
      <c r="M88" t="str">
        <f>""</f>
        <v/>
      </c>
      <c r="N88" t="str">
        <f>"Ferrara Vittorio Via Frignolo 23C 35020 Conche di Codevigo PD"</f>
        <v>Ferrara Vittorio Via Frignolo 23C 35020 Conche di Codevigo PD</v>
      </c>
      <c r="O88" t="str">
        <f>"Ferrara Vittorio Via Frignolo 23C 35020 Conche di Codevigo PD"</f>
        <v>Ferrara Vittorio Via Frignolo 23C 35020 Conche di Codevigo PD</v>
      </c>
      <c r="P88" t="str">
        <f>"ZA8313541F: [12084.00€ ]"</f>
        <v>ZA8313541F: [12084.00€ ]</v>
      </c>
      <c r="Q88" t="str">
        <f>""</f>
        <v/>
      </c>
      <c r="R88" t="str">
        <f>""</f>
        <v/>
      </c>
      <c r="S88" t="str">
        <f>""</f>
        <v/>
      </c>
      <c r="T88" t="str">
        <f>"https://portaletrasparenza.consorziobacchiglione.it/dettagli/attodigara/6764/adescamento-sifoni-ed-espurgo-tombinature-consorziali-all-interno-dei-bacini-sesta-presa-settima-presa-delta-e-foci-brenta-anni-2021-2022.html"</f>
        <v>https://portaletrasparenza.consorziobacchiglione.it/dettagli/attodigara/6764/adescamento-sifoni-ed-espurgo-tombinature-consorziali-all-interno-dei-bacini-sesta-presa-settima-presa-delta-e-foci-brenta-anni-2021-2022.html</v>
      </c>
      <c r="U88" t="str">
        <f>"https://portaletrasparenza.consorziobacchiglione.it/download/attodigara/6764/62a209be4f4da.PDF"</f>
        <v>https://portaletrasparenza.consorziobacchiglione.it/download/attodigara/6764/62a209be4f4da.PDF</v>
      </c>
      <c r="V88">
        <f>(SUBSTITUTE(Tabella1[[#This Row],[Importo di aggiudicazione]],".",","))-(SUBSTITUTE(  SUBSTITUTE(          SUBSTITUTE(Tabella1[[#This Row],[Dettaglio somme liquidate]],Tabella1[[#This Row],[CIG]]&amp;": [",""),"€ ]",""),".",","))</f>
        <v>211.07999999999993</v>
      </c>
    </row>
    <row r="89" spans="1:22" x14ac:dyDescent="0.3">
      <c r="A89" t="str">
        <f>"Affidamento"</f>
        <v>Affidamento</v>
      </c>
      <c r="B89" t="str">
        <f>"Adescamento sifoni ed espurgo tombinature consorziali all interno dei Bacini Pratiarcati e Due Carrare, Montà Portello e Colli Euganei - Anni 2021 - 2022"</f>
        <v>Adescamento sifoni ed espurgo tombinature consorziali all interno dei Bacini Pratiarcati e Due Carrare, Montà Portello e Colli Euganei - Anni 2021 - 2022</v>
      </c>
      <c r="C89" t="str">
        <f>"Z2B31351CE"</f>
        <v>Z2B31351CE</v>
      </c>
      <c r="D89" t="str">
        <f>"06/04/2021"</f>
        <v>06/04/2021</v>
      </c>
      <c r="E89" t="str">
        <f>""</f>
        <v/>
      </c>
      <c r="F89" t="str">
        <f>""</f>
        <v/>
      </c>
      <c r="G89" t="str">
        <f>"12295.08"</f>
        <v>12295.08</v>
      </c>
      <c r="H89" t="str">
        <f>"Consorzio di bonifica Bacchiglione"</f>
        <v>Consorzio di bonifica Bacchiglione</v>
      </c>
      <c r="I89" t="str">
        <f>"92223390284"</f>
        <v>92223390284</v>
      </c>
      <c r="J89" t="str">
        <f>"23-AFFIDAMENTO DIRETTO"</f>
        <v>23-AFFIDAMENTO DIRETTO</v>
      </c>
      <c r="K89" t="str">
        <f>"02/04/2021"</f>
        <v>02/04/2021</v>
      </c>
      <c r="L89" t="str">
        <f>"31/12/2021"</f>
        <v>31/12/2021</v>
      </c>
      <c r="M89" t="str">
        <f>""</f>
        <v/>
      </c>
      <c r="N89" t="str">
        <f>"Carrarespurghi di Peraro Filippo Via G Verdi 4 35020 Due Carrare PD"</f>
        <v>Carrarespurghi di Peraro Filippo Via G Verdi 4 35020 Due Carrare PD</v>
      </c>
      <c r="O89" t="str">
        <f>"Carrarespurghi di Peraro Filippo Via G Verdi 4 35020 Due Carrare PD"</f>
        <v>Carrarespurghi di Peraro Filippo Via G Verdi 4 35020 Due Carrare PD</v>
      </c>
      <c r="P89" t="str">
        <f>"Z2B31351CE: [11843.00€ ]"</f>
        <v>Z2B31351CE: [11843.00€ ]</v>
      </c>
      <c r="Q89" t="str">
        <f>""</f>
        <v/>
      </c>
      <c r="R89" t="str">
        <f>""</f>
        <v/>
      </c>
      <c r="S89" t="str">
        <f>""</f>
        <v/>
      </c>
      <c r="T89" t="str">
        <f>"https://portaletrasparenza.consorziobacchiglione.it/dettagli/attodigara/6763/adescamento-sifoni-ed-espurgo-tombinature-consorziali-all-interno-dei-bacini-pratiarcati-e-due-carrare-monta-portello-e-colli-euganei-anni-2021-2022.html"</f>
        <v>https://portaletrasparenza.consorziobacchiglione.it/dettagli/attodigara/6763/adescamento-sifoni-ed-espurgo-tombinature-consorziali-all-interno-dei-bacini-pratiarcati-e-due-carrare-monta-portello-e-colli-euganei-anni-2021-2022.html</v>
      </c>
      <c r="U89" t="str">
        <f>"https://portaletrasparenza.consorziobacchiglione.it/download/attodigara/6763/63ac4577c5e19.PDF"</f>
        <v>https://portaletrasparenza.consorziobacchiglione.it/download/attodigara/6763/63ac4577c5e19.PDF</v>
      </c>
      <c r="V89">
        <f>(SUBSTITUTE(Tabella1[[#This Row],[Importo di aggiudicazione]],".",","))-(SUBSTITUTE(  SUBSTITUTE(          SUBSTITUTE(Tabella1[[#This Row],[Dettaglio somme liquidate]],Tabella1[[#This Row],[CIG]]&amp;": [",""),"€ ]",""),".",","))</f>
        <v>452.07999999999993</v>
      </c>
    </row>
    <row r="90" spans="1:22" x14ac:dyDescent="0.3">
      <c r="A90" t="str">
        <f>"Affidamento"</f>
        <v>Affidamento</v>
      </c>
      <c r="B90" t="str">
        <f>"Fornitura di un armadio inverter per EP2 da 400 KW - 690V per Idrovora di Cambroso."</f>
        <v>Fornitura di un armadio inverter per EP2 da 400 KW - 690V per Idrovora di Cambroso.</v>
      </c>
      <c r="C90" t="str">
        <f>"Z8719ABB8A"</f>
        <v>Z8719ABB8A</v>
      </c>
      <c r="D90" t="str">
        <f>"04/11/2021"</f>
        <v>04/11/2021</v>
      </c>
      <c r="E90" t="str">
        <f>""</f>
        <v/>
      </c>
      <c r="F90" t="str">
        <f>""</f>
        <v/>
      </c>
      <c r="G90" t="str">
        <f>"19953.00"</f>
        <v>19953.00</v>
      </c>
      <c r="H90" t="str">
        <f>"Consorzio di bonifica Bacchiglione"</f>
        <v>Consorzio di bonifica Bacchiglione</v>
      </c>
      <c r="I90" t="str">
        <f>"92223390284"</f>
        <v>92223390284</v>
      </c>
      <c r="J90" t="str">
        <f>"23-AFFIDAMENTO DIRETTO"</f>
        <v>23-AFFIDAMENTO DIRETTO</v>
      </c>
      <c r="K90" t="str">
        <f>"02/05/2021"</f>
        <v>02/05/2021</v>
      </c>
      <c r="L90" t="str">
        <f>"26/08/2021"</f>
        <v>26/08/2021</v>
      </c>
      <c r="M90" t="str">
        <f>""</f>
        <v/>
      </c>
      <c r="N90" t="str">
        <f>"SCHNEIDER ELECTRIC S.P.A. Via Circonvallazione Est, 1 - 24040 Stezzano (BG)"</f>
        <v>SCHNEIDER ELECTRIC S.P.A. Via Circonvallazione Est, 1 - 24040 Stezzano (BG)</v>
      </c>
      <c r="O90" t="str">
        <f>"SCHNEIDER ELECTRIC S.P.A. Via Circonvallazione Est, 1 - 24040 Stezzano (BG)"</f>
        <v>SCHNEIDER ELECTRIC S.P.A. Via Circonvallazione Est, 1 - 24040 Stezzano (BG)</v>
      </c>
      <c r="P90" t="str">
        <f>"Z8719ABB8A: [19952.95€ ]"</f>
        <v>Z8719ABB8A: [19952.95€ ]</v>
      </c>
      <c r="Q90" t="str">
        <f>""</f>
        <v/>
      </c>
      <c r="R90" t="str">
        <f>""</f>
        <v/>
      </c>
      <c r="S90" t="str">
        <f>""</f>
        <v/>
      </c>
      <c r="T90" t="str">
        <f>"https://portaletrasparenza.consorziobacchiglione.it/dettagli/attodigara/379/fornitura-di-un-armadio-inverter-per-ep2-da-400-kw-690v-per-idrovora-di-cambroso.html"</f>
        <v>https://portaletrasparenza.consorziobacchiglione.it/dettagli/attodigara/379/fornitura-di-un-armadio-inverter-per-ep2-da-400-kw-690v-per-idrovora-di-cambroso.html</v>
      </c>
      <c r="U90" t="str">
        <f>""</f>
        <v/>
      </c>
      <c r="V90">
        <f>(SUBSTITUTE(Tabella1[[#This Row],[Importo di aggiudicazione]],".",","))-(SUBSTITUTE(  SUBSTITUTE(          SUBSTITUTE(Tabella1[[#This Row],[Dettaglio somme liquidate]],Tabella1[[#This Row],[CIG]]&amp;": [",""),"€ ]",""),".",","))</f>
        <v>4.9999999999272404E-2</v>
      </c>
    </row>
    <row r="91" spans="1:22" x14ac:dyDescent="0.3">
      <c r="A91" t="str">
        <f>"Affidamento"</f>
        <v>Affidamento</v>
      </c>
      <c r="B91" t="str">
        <f>"Assistenze alla Società VERITAS s.p.a. per la risoluzione di interferenze in via Silvio Pellico a Camponogara (VE) - Processo ID 004-21."</f>
        <v>Assistenze alla Società VERITAS s.p.a. per la risoluzione di interferenze in via Silvio Pellico a Camponogara (VE) - Processo ID 004-21.</v>
      </c>
      <c r="C91" t="str">
        <f>"Z983203BE9"</f>
        <v>Z983203BE9</v>
      </c>
      <c r="D91" t="str">
        <f>"07/07/2021"</f>
        <v>07/07/2021</v>
      </c>
      <c r="E91" t="str">
        <f>""</f>
        <v/>
      </c>
      <c r="F91" t="str">
        <f>""</f>
        <v/>
      </c>
      <c r="G91" t="str">
        <f>"1663.88"</f>
        <v>1663.88</v>
      </c>
      <c r="H91" t="str">
        <f>"Consorzio di bonifica Bacchiglione"</f>
        <v>Consorzio di bonifica Bacchiglione</v>
      </c>
      <c r="I91" t="str">
        <f>"92223390284"</f>
        <v>92223390284</v>
      </c>
      <c r="J91" t="str">
        <f>"23-AFFIDAMENTO DIRETTO"</f>
        <v>23-AFFIDAMENTO DIRETTO</v>
      </c>
      <c r="K91" t="str">
        <f>"02/07/2021"</f>
        <v>02/07/2021</v>
      </c>
      <c r="L91" t="str">
        <f>"31/12/2021"</f>
        <v>31/12/2021</v>
      </c>
      <c r="M91" t="str">
        <f>""</f>
        <v/>
      </c>
      <c r="N91" t="str">
        <f>"LF Costruzioni s.r.l."</f>
        <v>LF Costruzioni s.r.l.</v>
      </c>
      <c r="O91" t="str">
        <f>"LF Costruzioni s.r.l."</f>
        <v>LF Costruzioni s.r.l.</v>
      </c>
      <c r="P91" t="str">
        <f>"Z983203BE9: [1663.88€ ]"</f>
        <v>Z983203BE9: [1663.88€ ]</v>
      </c>
      <c r="Q91" t="str">
        <f>""</f>
        <v/>
      </c>
      <c r="R91" t="str">
        <f>""</f>
        <v/>
      </c>
      <c r="S91" t="str">
        <f>""</f>
        <v/>
      </c>
      <c r="T91" t="str">
        <f>"https://portaletrasparenza.consorziobacchiglione.it/dettagli/attodigara/6991/assistenze-alla-societa-veritas-s-p-a-per-la-risoluzione-di-interferenze-in-via-silvio-pellico-a-camponogara-ve-processo-id-004-21.html"</f>
        <v>https://portaletrasparenza.consorziobacchiglione.it/dettagli/attodigara/6991/assistenze-alla-societa-veritas-s-p-a-per-la-risoluzione-di-interferenze-in-via-silvio-pellico-a-camponogara-ve-processo-id-004-21.html</v>
      </c>
      <c r="U91" t="str">
        <f>"https://portaletrasparenza.consorziobacchiglione.it/download/attodigara/6991/63ac45a4e53bf.PDF"</f>
        <v>https://portaletrasparenza.consorziobacchiglione.it/download/attodigara/6991/63ac45a4e53bf.PDF</v>
      </c>
      <c r="V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2" spans="1:22" x14ac:dyDescent="0.3">
      <c r="A92" t="str">
        <f>"Affidamento"</f>
        <v>Affidamento</v>
      </c>
      <c r="B92" t="str">
        <f>"Controllo annuale gru con rilascio scheda presso mezzi targati: EP107XC, DN881SC, EW930NS"</f>
        <v>Controllo annuale gru con rilascio scheda presso mezzi targati: EP107XC, DN881SC, EW930NS</v>
      </c>
      <c r="C92" t="str">
        <f>"Z973257019"</f>
        <v>Z973257019</v>
      </c>
      <c r="D92" t="str">
        <f>"27/07/2021"</f>
        <v>27/07/2021</v>
      </c>
      <c r="E92" t="str">
        <f>""</f>
        <v/>
      </c>
      <c r="F92" t="str">
        <f>""</f>
        <v/>
      </c>
      <c r="G92" t="str">
        <f>"1671.00"</f>
        <v>1671.00</v>
      </c>
      <c r="H92" t="str">
        <f>"Consorzio di bonifica Bacchiglione"</f>
        <v>Consorzio di bonifica Bacchiglione</v>
      </c>
      <c r="I92" t="str">
        <f>"92223390284"</f>
        <v>92223390284</v>
      </c>
      <c r="J92" t="str">
        <f>"23-AFFIDAMENTO DIRETTO"</f>
        <v>23-AFFIDAMENTO DIRETTO</v>
      </c>
      <c r="K92" t="str">
        <f>"02/07/2021"</f>
        <v>02/07/2021</v>
      </c>
      <c r="L92" t="str">
        <f>"28/07/2021"</f>
        <v>28/07/2021</v>
      </c>
      <c r="M92" t="str">
        <f>""</f>
        <v/>
      </c>
      <c r="N92" t="str">
        <f>"Moressa s.r.l. Via Cuccara 2 35020 Due Carrare PD"</f>
        <v>Moressa s.r.l. Via Cuccara 2 35020 Due Carrare PD</v>
      </c>
      <c r="O92" t="str">
        <f>"Moressa s.r.l. Via Cuccara 2 35020 Due Carrare PD"</f>
        <v>Moressa s.r.l. Via Cuccara 2 35020 Due Carrare PD</v>
      </c>
      <c r="P92" t="str">
        <f>"Z973257019: [1671.00€ ]"</f>
        <v>Z973257019: [1671.00€ ]</v>
      </c>
      <c r="Q92" t="str">
        <f>""</f>
        <v/>
      </c>
      <c r="R92" t="str">
        <f>""</f>
        <v/>
      </c>
      <c r="S92" t="str">
        <f>""</f>
        <v/>
      </c>
      <c r="T92" t="str">
        <f>"https://portaletrasparenza.consorziobacchiglione.it/dettagli/attodigara/6992/controllo-annuale-gru-con-rilascio-scheda-presso-mezzi-targati-ep107xc-dn881sc-ew930ns.html"</f>
        <v>https://portaletrasparenza.consorziobacchiglione.it/dettagli/attodigara/6992/controllo-annuale-gru-con-rilascio-scheda-presso-mezzi-targati-ep107xc-dn881sc-ew930ns.html</v>
      </c>
      <c r="U92" t="str">
        <f>"https://portaletrasparenza.consorziobacchiglione.it/download/attodigara/6992/63ac45ab097ab.PDF"</f>
        <v>https://portaletrasparenza.consorziobacchiglione.it/download/attodigara/6992/63ac45ab097ab.PDF</v>
      </c>
      <c r="V9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3" spans="1:22" x14ac:dyDescent="0.3">
      <c r="A93" t="str">
        <f>"Affidamento"</f>
        <v>Affidamento</v>
      </c>
      <c r="B93" t="str">
        <f>"Sostituzione valvola di ritegno Idrovora Vaso Cavaizze, Bovolenta, Valli di Camin, S.Margherita."</f>
        <v>Sostituzione valvola di ritegno Idrovora Vaso Cavaizze, Bovolenta, Valli di Camin, S.Margherita.</v>
      </c>
      <c r="C93" t="str">
        <f>"Z0A1AD5A39"</f>
        <v>Z0A1AD5A39</v>
      </c>
      <c r="D93" t="str">
        <f>"04/11/2021"</f>
        <v>04/11/2021</v>
      </c>
      <c r="E93" t="str">
        <f>""</f>
        <v/>
      </c>
      <c r="F93" t="str">
        <f>""</f>
        <v/>
      </c>
      <c r="G93" t="str">
        <f>"2233.48"</f>
        <v>2233.48</v>
      </c>
      <c r="H93" t="str">
        <f>"Consorzio di bonifica Bacchiglione"</f>
        <v>Consorzio di bonifica Bacchiglione</v>
      </c>
      <c r="I93" t="str">
        <f>"92223390284"</f>
        <v>92223390284</v>
      </c>
      <c r="J93" t="str">
        <f>"23-AFFIDAMENTO DIRETTO"</f>
        <v>23-AFFIDAMENTO DIRETTO</v>
      </c>
      <c r="K93" t="str">
        <f>"02/08/2021"</f>
        <v>02/08/2021</v>
      </c>
      <c r="L93" t="str">
        <f>"14/10/2021"</f>
        <v>14/10/2021</v>
      </c>
      <c r="M93" t="str">
        <f>""</f>
        <v/>
      </c>
      <c r="N93" t="str">
        <f>"Giraldo Impianti SNC di Giraldo Danilo e Silvio Via Flli Cervi 1-II 30010 Campolongo Maggiore VE"</f>
        <v>Giraldo Impianti SNC di Giraldo Danilo e Silvio Via Flli Cervi 1-II 30010 Campolongo Maggiore VE</v>
      </c>
      <c r="O93" t="str">
        <f>"Giraldo Impianti SNC di Giraldo Danilo e Silvio Via Flli Cervi 1-II 30010 Campolongo Maggiore VE"</f>
        <v>Giraldo Impianti SNC di Giraldo Danilo e Silvio Via Flli Cervi 1-II 30010 Campolongo Maggiore VE</v>
      </c>
      <c r="P93" t="str">
        <f>"Z0A1AD5A39: [2233.48€ ]"</f>
        <v>Z0A1AD5A39: [2233.48€ ]</v>
      </c>
      <c r="Q93" t="str">
        <f>""</f>
        <v/>
      </c>
      <c r="R93" t="str">
        <f>""</f>
        <v/>
      </c>
      <c r="S93" t="str">
        <f>""</f>
        <v/>
      </c>
      <c r="T93" t="str">
        <f>"https://portaletrasparenza.consorziobacchiglione.it/dettagli/attodigara/641/sostituzione-valvola-di-ritegno-idrovora-vaso-cavaizze-bovolenta-valli-di-camin-s-margherita.html"</f>
        <v>https://portaletrasparenza.consorziobacchiglione.it/dettagli/attodigara/641/sostituzione-valvola-di-ritegno-idrovora-vaso-cavaizze-bovolenta-valli-di-camin-s-margherita.html</v>
      </c>
      <c r="U93" t="str">
        <f>""</f>
        <v/>
      </c>
      <c r="V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4" spans="1:22" x14ac:dyDescent="0.3">
      <c r="A94" t="str">
        <f>"Affidamento"</f>
        <v>Affidamento</v>
      </c>
      <c r="B94" t="str">
        <f>"Stasatura lavabo,sostituzione valvola termostatizzabile radiatore e varie manutenzioni sede Consorziale."</f>
        <v>Stasatura lavabo,sostituzione valvola termostatizzabile radiatore e varie manutenzioni sede Consorziale.</v>
      </c>
      <c r="C94" t="str">
        <f>"Z5F1AD5B90"</f>
        <v>Z5F1AD5B90</v>
      </c>
      <c r="D94" t="str">
        <f>"04/11/2021"</f>
        <v>04/11/2021</v>
      </c>
      <c r="E94" t="str">
        <f>""</f>
        <v/>
      </c>
      <c r="F94" t="str">
        <f>""</f>
        <v/>
      </c>
      <c r="G94" t="str">
        <f>"575.87"</f>
        <v>575.87</v>
      </c>
      <c r="H94" t="str">
        <f>"Consorzio di bonifica Bacchiglione"</f>
        <v>Consorzio di bonifica Bacchiglione</v>
      </c>
      <c r="I94" t="str">
        <f>"92223390284"</f>
        <v>92223390284</v>
      </c>
      <c r="J94" t="str">
        <f>"23-AFFIDAMENTO DIRETTO"</f>
        <v>23-AFFIDAMENTO DIRETTO</v>
      </c>
      <c r="K94" t="str">
        <f>"02/08/2021"</f>
        <v>02/08/2021</v>
      </c>
      <c r="L94" t="str">
        <f>"14/10/2021"</f>
        <v>14/10/2021</v>
      </c>
      <c r="M94" t="str">
        <f>""</f>
        <v/>
      </c>
      <c r="N94" t="str">
        <f>"Giraldo Impianti SNC di Giraldo Danilo e Silvio Via Flli Cervi 1-II 30010 Campolongo Maggiore VE"</f>
        <v>Giraldo Impianti SNC di Giraldo Danilo e Silvio Via Flli Cervi 1-II 30010 Campolongo Maggiore VE</v>
      </c>
      <c r="O94" t="str">
        <f>"Giraldo Impianti SNC di Giraldo Danilo e Silvio Via Flli Cervi 1-II 30010 Campolongo Maggiore VE"</f>
        <v>Giraldo Impianti SNC di Giraldo Danilo e Silvio Via Flli Cervi 1-II 30010 Campolongo Maggiore VE</v>
      </c>
      <c r="P94" t="str">
        <f>"Z5F1AD5B90: [0.00€ ]"</f>
        <v>Z5F1AD5B90: [0.00€ ]</v>
      </c>
      <c r="Q94" t="str">
        <f>""</f>
        <v/>
      </c>
      <c r="R94" t="str">
        <f>""</f>
        <v/>
      </c>
      <c r="S94" t="str">
        <f>""</f>
        <v/>
      </c>
      <c r="T94" t="str">
        <f>"https://portaletrasparenza.consorziobacchiglione.it/dettagli/attodigara/642/stasatura-lavabo-sostituzione-valvola-termostatizzabile-radiatore-e-varie-manutenzioni-sede-consorziale.html"</f>
        <v>https://portaletrasparenza.consorziobacchiglione.it/dettagli/attodigara/642/stasatura-lavabo-sostituzione-valvola-termostatizzabile-radiatore-e-varie-manutenzioni-sede-consorziale.html</v>
      </c>
      <c r="U94" t="str">
        <f>""</f>
        <v/>
      </c>
      <c r="V94">
        <f>(SUBSTITUTE(Tabella1[[#This Row],[Importo di aggiudicazione]],".",","))-(SUBSTITUTE(  SUBSTITUTE(          SUBSTITUTE(Tabella1[[#This Row],[Dettaglio somme liquidate]],Tabella1[[#This Row],[CIG]]&amp;": [",""),"€ ]",""),".",","))</f>
        <v>575.87</v>
      </c>
    </row>
    <row r="95" spans="1:22" x14ac:dyDescent="0.3">
      <c r="A95" t="str">
        <f>"Affidamento"</f>
        <v>Affidamento</v>
      </c>
      <c r="B95" t="str">
        <f>"Sostituzione indicatore di livello elettronico su cisterna gasolio agricolo presso deposito centro operativo S. Margherita"</f>
        <v>Sostituzione indicatore di livello elettronico su cisterna gasolio agricolo presso deposito centro operativo S. Margherita</v>
      </c>
      <c r="C95" t="str">
        <f>"Z2D32A7F29"</f>
        <v>Z2D32A7F29</v>
      </c>
      <c r="D95" t="str">
        <f>"02/08/2021"</f>
        <v>02/08/2021</v>
      </c>
      <c r="E95" t="str">
        <f>""</f>
        <v/>
      </c>
      <c r="F95" t="str">
        <f>""</f>
        <v/>
      </c>
      <c r="G95" t="str">
        <f>"850.00"</f>
        <v>850.00</v>
      </c>
      <c r="H95" t="str">
        <f>"Consorzio di bonifica Bacchiglione"</f>
        <v>Consorzio di bonifica Bacchiglione</v>
      </c>
      <c r="I95" t="str">
        <f>"92223390284"</f>
        <v>92223390284</v>
      </c>
      <c r="J95" t="str">
        <f>"23-AFFIDAMENTO DIRETTO"</f>
        <v>23-AFFIDAMENTO DIRETTO</v>
      </c>
      <c r="K95" t="str">
        <f>"02/08/2021"</f>
        <v>02/08/2021</v>
      </c>
      <c r="L95" t="str">
        <f>"31/08/2021"</f>
        <v>31/08/2021</v>
      </c>
      <c r="M95" t="str">
        <f>""</f>
        <v/>
      </c>
      <c r="N95" t="str">
        <f>"Emiliana Serbatoi Via Largo Maestri del Lavoro 40 41011 Campogalliano MO"</f>
        <v>Emiliana Serbatoi Via Largo Maestri del Lavoro 40 41011 Campogalliano MO</v>
      </c>
      <c r="O95" t="str">
        <f>"Emiliana Serbatoi Via Largo Maestri del Lavoro 40 41011 Campogalliano MO"</f>
        <v>Emiliana Serbatoi Via Largo Maestri del Lavoro 40 41011 Campogalliano MO</v>
      </c>
      <c r="P95" t="str">
        <f>"Z2D32A7F29: [850.00€ ]"</f>
        <v>Z2D32A7F29: [850.00€ ]</v>
      </c>
      <c r="Q95" t="str">
        <f>""</f>
        <v/>
      </c>
      <c r="R95" t="str">
        <f>""</f>
        <v/>
      </c>
      <c r="S95" t="str">
        <f>""</f>
        <v/>
      </c>
      <c r="T95" t="str">
        <f>"https://portaletrasparenza.consorziobacchiglione.it/dettagli/attodigara/7050/sostituzione-indicatore-di-livello-elettronico-su-cisterna-gasolio-agricolo-presso-deposito-centro-operativo-s-margherita.html"</f>
        <v>https://portaletrasparenza.consorziobacchiglione.it/dettagli/attodigara/7050/sostituzione-indicatore-di-livello-elettronico-su-cisterna-gasolio-agricolo-presso-deposito-centro-operativo-s-margherita.html</v>
      </c>
      <c r="U95" t="str">
        <f>"https://portaletrasparenza.consorziobacchiglione.it/download/attodigara/7050/63ac45b189087.PDF"</f>
        <v>https://portaletrasparenza.consorziobacchiglione.it/download/attodigara/7050/63ac45b189087.PDF</v>
      </c>
      <c r="V9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6" spans="1:22" x14ac:dyDescent="0.3">
      <c r="A96" t="str">
        <f>"Affidamento"</f>
        <v>Affidamento</v>
      </c>
      <c r="B96" t="str">
        <f>"Manutenzione G.E presso Idrovora Maestro"</f>
        <v>Manutenzione G.E presso Idrovora Maestro</v>
      </c>
      <c r="C96" t="str">
        <f>"ZA432A985F"</f>
        <v>ZA432A985F</v>
      </c>
      <c r="D96" t="str">
        <f>"04/08/2021"</f>
        <v>04/08/2021</v>
      </c>
      <c r="E96" t="str">
        <f>""</f>
        <v/>
      </c>
      <c r="F96" t="str">
        <f>""</f>
        <v/>
      </c>
      <c r="G96" t="str">
        <f>"1730.00"</f>
        <v>1730.00</v>
      </c>
      <c r="H96" t="str">
        <f>"Consorzio di bonifica Bacchiglione"</f>
        <v>Consorzio di bonifica Bacchiglione</v>
      </c>
      <c r="I96" t="str">
        <f>"92223390284"</f>
        <v>92223390284</v>
      </c>
      <c r="J96" t="str">
        <f>"23-AFFIDAMENTO DIRETTO"</f>
        <v>23-AFFIDAMENTO DIRETTO</v>
      </c>
      <c r="K96" t="str">
        <f>"02/08/2021"</f>
        <v>02/08/2021</v>
      </c>
      <c r="L96" t="str">
        <f>"31/08/2021"</f>
        <v>31/08/2021</v>
      </c>
      <c r="M96" t="str">
        <f>""</f>
        <v/>
      </c>
      <c r="N96" t="str">
        <f>"Italmotori S.r.l. Corso Milano 83 35139 Padova"</f>
        <v>Italmotori S.r.l. Corso Milano 83 35139 Padova</v>
      </c>
      <c r="O96" t="str">
        <f>"Italmotori S.r.l. Corso Milano 83 35139 Padova"</f>
        <v>Italmotori S.r.l. Corso Milano 83 35139 Padova</v>
      </c>
      <c r="P96" t="str">
        <f>"ZA432A985F: [1730.00€ ]"</f>
        <v>ZA432A985F: [1730.00€ ]</v>
      </c>
      <c r="Q96" t="str">
        <f>""</f>
        <v/>
      </c>
      <c r="R96" t="str">
        <f>""</f>
        <v/>
      </c>
      <c r="S96" t="str">
        <f>""</f>
        <v/>
      </c>
      <c r="T96" t="str">
        <f>"https://portaletrasparenza.consorziobacchiglione.it/dettagli/attodigara/7054/manutenzione-g-e-presso-idrovora-maestro.html"</f>
        <v>https://portaletrasparenza.consorziobacchiglione.it/dettagli/attodigara/7054/manutenzione-g-e-presso-idrovora-maestro.html</v>
      </c>
      <c r="U96" t="str">
        <f>"https://portaletrasparenza.consorziobacchiglione.it/download/attodigara/7054/63ac45b283780.PDF"</f>
        <v>https://portaletrasparenza.consorziobacchiglione.it/download/attodigara/7054/63ac45b283780.PDF</v>
      </c>
      <c r="V9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7" spans="1:22" x14ac:dyDescent="0.3">
      <c r="A97" t="str">
        <f>"Affidamento"</f>
        <v>Affidamento</v>
      </c>
      <c r="B97" t="str">
        <f>"Manutenzione e riparazione sgrigliatore presso Idrovora Maestro e Botte Corte Monte"</f>
        <v>Manutenzione e riparazione sgrigliatore presso Idrovora Maestro e Botte Corte Monte</v>
      </c>
      <c r="C97" t="str">
        <f>"Z3C32A96D0"</f>
        <v>Z3C32A96D0</v>
      </c>
      <c r="D97" t="str">
        <f>"04/08/2021"</f>
        <v>04/08/2021</v>
      </c>
      <c r="E97" t="str">
        <f>""</f>
        <v/>
      </c>
      <c r="F97" t="str">
        <f>""</f>
        <v/>
      </c>
      <c r="G97" t="str">
        <f>"8554.00"</f>
        <v>8554.00</v>
      </c>
      <c r="H97" t="str">
        <f>"Consorzio di bonifica Bacchiglione"</f>
        <v>Consorzio di bonifica Bacchiglione</v>
      </c>
      <c r="I97" t="str">
        <f>"92223390284"</f>
        <v>92223390284</v>
      </c>
      <c r="J97" t="str">
        <f>"23-AFFIDAMENTO DIRETTO"</f>
        <v>23-AFFIDAMENTO DIRETTO</v>
      </c>
      <c r="K97" t="str">
        <f>"02/08/2021"</f>
        <v>02/08/2021</v>
      </c>
      <c r="L97" t="str">
        <f>"08/09/2021"</f>
        <v>08/09/2021</v>
      </c>
      <c r="M97" t="str">
        <f>""</f>
        <v/>
      </c>
      <c r="N97" t="str">
        <f>"Officina Biesse S.n.c. Via Matteotti 24 35020 Arzergrande PD"</f>
        <v>Officina Biesse S.n.c. Via Matteotti 24 35020 Arzergrande PD</v>
      </c>
      <c r="O97" t="str">
        <f>"Officina Biesse S.n.c. Via Matteotti 24 35020 Arzergrande PD"</f>
        <v>Officina Biesse S.n.c. Via Matteotti 24 35020 Arzergrande PD</v>
      </c>
      <c r="P97" t="str">
        <f>"Z3C32A96D0: [8554.00€ ]"</f>
        <v>Z3C32A96D0: [8554.00€ ]</v>
      </c>
      <c r="Q97" t="str">
        <f>""</f>
        <v/>
      </c>
      <c r="R97" t="str">
        <f>""</f>
        <v/>
      </c>
      <c r="S97" t="str">
        <f>""</f>
        <v/>
      </c>
      <c r="T97" t="str">
        <f>"https://portaletrasparenza.consorziobacchiglione.it/dettagli/attodigara/7053/manutenzione-e-riparazione-sgrigliatore-presso-idrovora-maestro-e-botte-corte-monte.html"</f>
        <v>https://portaletrasparenza.consorziobacchiglione.it/dettagli/attodigara/7053/manutenzione-e-riparazione-sgrigliatore-presso-idrovora-maestro-e-botte-corte-monte.html</v>
      </c>
      <c r="U97" t="str">
        <f>"https://portaletrasparenza.consorziobacchiglione.it/download/attodigara/7053/63ac45b24ade4.PDF"</f>
        <v>https://portaletrasparenza.consorziobacchiglione.it/download/attodigara/7053/63ac45b24ade4.PDF</v>
      </c>
      <c r="V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8" spans="1:22" x14ac:dyDescent="0.3">
      <c r="A98" t="str">
        <f>"Affidamento"</f>
        <v>Affidamento</v>
      </c>
      <c r="B98" t="str">
        <f>"Manutenzione e riparazione motopompa Varisco J100"</f>
        <v>Manutenzione e riparazione motopompa Varisco J100</v>
      </c>
      <c r="C98" t="str">
        <f>"ZEB32A93FA"</f>
        <v>ZEB32A93FA</v>
      </c>
      <c r="D98" t="str">
        <f>"04/08/2021"</f>
        <v>04/08/2021</v>
      </c>
      <c r="E98" t="str">
        <f>""</f>
        <v/>
      </c>
      <c r="F98" t="str">
        <f>""</f>
        <v/>
      </c>
      <c r="G98" t="str">
        <f>"1515.00"</f>
        <v>1515.00</v>
      </c>
      <c r="H98" t="str">
        <f>"Consorzio di bonifica Bacchiglione"</f>
        <v>Consorzio di bonifica Bacchiglione</v>
      </c>
      <c r="I98" t="str">
        <f>"92223390284"</f>
        <v>92223390284</v>
      </c>
      <c r="J98" t="str">
        <f>"23-AFFIDAMENTO DIRETTO"</f>
        <v>23-AFFIDAMENTO DIRETTO</v>
      </c>
      <c r="K98" t="str">
        <f>"02/08/2021"</f>
        <v>02/08/2021</v>
      </c>
      <c r="L98" t="str">
        <f>"06/09/2021"</f>
        <v>06/09/2021</v>
      </c>
      <c r="M98" t="str">
        <f>""</f>
        <v/>
      </c>
      <c r="N98" t="str">
        <f>"Officina Biesse S.n.c. Via Matteotti 24 35020 Arzergrande PD"</f>
        <v>Officina Biesse S.n.c. Via Matteotti 24 35020 Arzergrande PD</v>
      </c>
      <c r="O98" t="str">
        <f>"Officina Biesse S.n.c. Via Matteotti 24 35020 Arzergrande PD"</f>
        <v>Officina Biesse S.n.c. Via Matteotti 24 35020 Arzergrande PD</v>
      </c>
      <c r="P98" t="str">
        <f>"ZEB32A93FA: [1515.00€ ]"</f>
        <v>ZEB32A93FA: [1515.00€ ]</v>
      </c>
      <c r="Q98" t="str">
        <f>""</f>
        <v/>
      </c>
      <c r="R98" t="str">
        <f>""</f>
        <v/>
      </c>
      <c r="S98" t="str">
        <f>""</f>
        <v/>
      </c>
      <c r="T98" t="str">
        <f>"https://portaletrasparenza.consorziobacchiglione.it/dettagli/attodigara/7052/manutenzione-e-riparazione-motopompa-varisco-j100.html"</f>
        <v>https://portaletrasparenza.consorziobacchiglione.it/dettagli/attodigara/7052/manutenzione-e-riparazione-motopompa-varisco-j100.html</v>
      </c>
      <c r="U98" t="str">
        <f>"https://portaletrasparenza.consorziobacchiglione.it/download/attodigara/7052/63ac45b212283.PDF"</f>
        <v>https://portaletrasparenza.consorziobacchiglione.it/download/attodigara/7052/63ac45b212283.PDF</v>
      </c>
      <c r="V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9" spans="1:22" x14ac:dyDescent="0.3">
      <c r="A99" t="str">
        <f>"Affidamento"</f>
        <v>Affidamento</v>
      </c>
      <c r="B99" t="str">
        <f>"Manutenzione e riparazione mezzi con targa: AKS681, AKV813, JCB 8018, EW930NS, 904 cingolato, motobarca n.5"</f>
        <v>Manutenzione e riparazione mezzi con targa: AKS681, AKV813, JCB 8018, EW930NS, 904 cingolato, motobarca n.5</v>
      </c>
      <c r="C99" t="str">
        <f>"Z4A32A91C3"</f>
        <v>Z4A32A91C3</v>
      </c>
      <c r="D99" t="str">
        <f>"04/08/2021"</f>
        <v>04/08/2021</v>
      </c>
      <c r="E99" t="str">
        <f>""</f>
        <v/>
      </c>
      <c r="F99" t="str">
        <f>""</f>
        <v/>
      </c>
      <c r="G99" t="str">
        <f>"5822.40"</f>
        <v>5822.40</v>
      </c>
      <c r="H99" t="str">
        <f>"Consorzio di bonifica Bacchiglione"</f>
        <v>Consorzio di bonifica Bacchiglione</v>
      </c>
      <c r="I99" t="str">
        <f>"92223390284"</f>
        <v>92223390284</v>
      </c>
      <c r="J99" t="str">
        <f>"23-AFFIDAMENTO DIRETTO"</f>
        <v>23-AFFIDAMENTO DIRETTO</v>
      </c>
      <c r="K99" t="str">
        <f>"02/08/2021"</f>
        <v>02/08/2021</v>
      </c>
      <c r="L99" t="str">
        <f>"09/09/2021"</f>
        <v>09/09/2021</v>
      </c>
      <c r="M99" t="str">
        <f>""</f>
        <v/>
      </c>
      <c r="N99" t="str">
        <f>"Officina Biesse S.n.c. Via Matteotti 24 35020 Arzergrande PD"</f>
        <v>Officina Biesse S.n.c. Via Matteotti 24 35020 Arzergrande PD</v>
      </c>
      <c r="O99" t="str">
        <f>"Officina Biesse S.n.c. Via Matteotti 24 35020 Arzergrande PD"</f>
        <v>Officina Biesse S.n.c. Via Matteotti 24 35020 Arzergrande PD</v>
      </c>
      <c r="P99" t="str">
        <f>"Z4A32A91C3: [5822.40€ ]"</f>
        <v>Z4A32A91C3: [5822.40€ ]</v>
      </c>
      <c r="Q99" t="str">
        <f>""</f>
        <v/>
      </c>
      <c r="R99" t="str">
        <f>""</f>
        <v/>
      </c>
      <c r="S99" t="str">
        <f>""</f>
        <v/>
      </c>
      <c r="T99" t="str">
        <f>"https://portaletrasparenza.consorziobacchiglione.it/dettagli/attodigara/7051/manutenzione-e-riparazione-mezzi-con-targa-aks681-akv813-jcb-8018-ew930ns-904-cingolato-motobarca-n-5.html"</f>
        <v>https://portaletrasparenza.consorziobacchiglione.it/dettagli/attodigara/7051/manutenzione-e-riparazione-mezzi-con-targa-aks681-akv813-jcb-8018-ew930ns-904-cingolato-motobarca-n-5.html</v>
      </c>
      <c r="U99" t="str">
        <f>"https://portaletrasparenza.consorziobacchiglione.it/download/attodigara/7051/63ac45b1cda10.PDF"</f>
        <v>https://portaletrasparenza.consorziobacchiglione.it/download/attodigara/7051/63ac45b1cda10.PDF</v>
      </c>
      <c r="V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0" spans="1:22" x14ac:dyDescent="0.3">
      <c r="A100" t="str">
        <f>"Affidamento"</f>
        <v>Affidamento</v>
      </c>
      <c r="B100" t="str">
        <f>"Realizzazione di video documentario sui \'Lavori di ripristino e ristrutturazione interna delle canne delle botti a sifone di Conche di Codevigo e di Corte di Piove di Sacco\' - Processo ID 004-21."</f>
        <v>Realizzazione di video documentario sui \'Lavori di ripristino e ristrutturazione interna delle canne delle botti a sifone di Conche di Codevigo e di Corte di Piove di Sacco\' - Processo ID 004-21.</v>
      </c>
      <c r="C100" t="str">
        <f>"Z7932A87E1"</f>
        <v>Z7932A87E1</v>
      </c>
      <c r="D100" t="str">
        <f>"16/08/2021"</f>
        <v>16/08/2021</v>
      </c>
      <c r="E100" t="str">
        <f>""</f>
        <v/>
      </c>
      <c r="F100" t="str">
        <f>""</f>
        <v/>
      </c>
      <c r="G100" t="str">
        <f>"4200.00"</f>
        <v>4200.00</v>
      </c>
      <c r="H100" t="str">
        <f>"Consorzio di bonifica Bacchiglione"</f>
        <v>Consorzio di bonifica Bacchiglione</v>
      </c>
      <c r="I100" t="str">
        <f>"92223390284"</f>
        <v>92223390284</v>
      </c>
      <c r="J100" t="str">
        <f>"23-AFFIDAMENTO DIRETTO"</f>
        <v>23-AFFIDAMENTO DIRETTO</v>
      </c>
      <c r="K100" t="str">
        <f>"02/08/2021"</f>
        <v>02/08/2021</v>
      </c>
      <c r="L100" t="str">
        <f>"10/11/2021"</f>
        <v>10/11/2021</v>
      </c>
      <c r="M100" t="str">
        <f>""</f>
        <v/>
      </c>
      <c r="N100" t="str">
        <f>"Cooperativa Deltartisti so. Coop. A.r.l."</f>
        <v>Cooperativa Deltartisti so. Coop. A.r.l.</v>
      </c>
      <c r="O100" t="str">
        <f>"Cooperativa Deltartisti so. Coop. A.r.l."</f>
        <v>Cooperativa Deltartisti so. Coop. A.r.l.</v>
      </c>
      <c r="P100" t="s">
        <v>194</v>
      </c>
      <c r="Q100" t="str">
        <f>""</f>
        <v/>
      </c>
      <c r="R100" t="str">
        <f>""</f>
        <v/>
      </c>
      <c r="S100" t="str">
        <f>""</f>
        <v/>
      </c>
      <c r="T100" t="s">
        <v>89</v>
      </c>
      <c r="U100" t="str">
        <f>"https://portaletrasparenza.consorziobacchiglione.it/download/attodigara/7049/63ac45b678ad1.PDF"</f>
        <v>https://portaletrasparenza.consorziobacchiglione.it/download/attodigara/7049/63ac45b678ad1.PDF</v>
      </c>
      <c r="V1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1" spans="1:22" x14ac:dyDescent="0.3">
      <c r="A101" t="str">
        <f>"Affidamento"</f>
        <v>Affidamento</v>
      </c>
      <c r="B101" t="str">
        <f>"Fornitura nuovo apparecchio telefonico Panasonic mod. KXDT543NE per interno 210 al centralino della sede consorziale."</f>
        <v>Fornitura nuovo apparecchio telefonico Panasonic mod. KXDT543NE per interno 210 al centralino della sede consorziale.</v>
      </c>
      <c r="C101" t="str">
        <f>"Z0D1B0DF1A"</f>
        <v>Z0D1B0DF1A</v>
      </c>
      <c r="D101" t="str">
        <f>"04/11/2021"</f>
        <v>04/11/2021</v>
      </c>
      <c r="E101" t="str">
        <f>""</f>
        <v/>
      </c>
      <c r="F101" t="str">
        <f>""</f>
        <v/>
      </c>
      <c r="G101" t="str">
        <f>"265.00"</f>
        <v>265.00</v>
      </c>
      <c r="H101" t="str">
        <f>"Consorzio di bonifica Bacchiglione"</f>
        <v>Consorzio di bonifica Bacchiglione</v>
      </c>
      <c r="I101" t="str">
        <f>"92223390284"</f>
        <v>92223390284</v>
      </c>
      <c r="J101" t="str">
        <f>"23-AFFIDAMENTO DIRETTO"</f>
        <v>23-AFFIDAMENTO DIRETTO</v>
      </c>
      <c r="K101" t="str">
        <f>"02/09/2021"</f>
        <v>02/09/2021</v>
      </c>
      <c r="L101" t="str">
        <f>"27/04/2021"</f>
        <v>27/04/2021</v>
      </c>
      <c r="M101" t="str">
        <f>""</f>
        <v/>
      </c>
      <c r="N101" t="str">
        <f>"Telecom s.r.l. Via Marignana 98 31021 Marocco di Mogliano Veneto TV"</f>
        <v>Telecom s.r.l. Via Marignana 98 31021 Marocco di Mogliano Veneto TV</v>
      </c>
      <c r="O101" t="str">
        <f>"Telecom s.r.l. Via Marignana 98 31021 Marocco di Mogliano Veneto TV"</f>
        <v>Telecom s.r.l. Via Marignana 98 31021 Marocco di Mogliano Veneto TV</v>
      </c>
      <c r="P101" t="str">
        <f>"Z0D1B0DF1A: [265.00€ ]"</f>
        <v>Z0D1B0DF1A: [265.00€ ]</v>
      </c>
      <c r="Q101" t="str">
        <f>""</f>
        <v/>
      </c>
      <c r="R101" t="str">
        <f>""</f>
        <v/>
      </c>
      <c r="S101" t="str">
        <f>""</f>
        <v/>
      </c>
      <c r="T101" t="str">
        <f>"https://portaletrasparenza.consorziobacchiglione.it/dettagli/attodigara/712/fornitura-nuovo-apparecchio-telefonico-panasonic-mod-kxdt543ne-per-interno-210-al-centralino-della-sede-consorziale.html"</f>
        <v>https://portaletrasparenza.consorziobacchiglione.it/dettagli/attodigara/712/fornitura-nuovo-apparecchio-telefonico-panasonic-mod-kxdt543ne-per-interno-210-al-centralino-della-sede-consorziale.html</v>
      </c>
      <c r="U101" t="str">
        <f>""</f>
        <v/>
      </c>
      <c r="V10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2" spans="1:22" x14ac:dyDescent="0.3">
      <c r="A102" t="str">
        <f>"Affidamento"</f>
        <v>Affidamento</v>
      </c>
      <c r="B102" t="str">
        <f>"Noleggio miniescavatore cingolato Hitachi ZX27 con decespugliatore Forestale per lavori presso Idrovora Noventana Nuovo"</f>
        <v>Noleggio miniescavatore cingolato Hitachi ZX27 con decespugliatore Forestale per lavori presso Idrovora Noventana Nuovo</v>
      </c>
      <c r="C102" t="str">
        <f>"ZF032E96E5"</f>
        <v>ZF032E96E5</v>
      </c>
      <c r="D102" t="str">
        <f>"03/09/2021"</f>
        <v>03/09/2021</v>
      </c>
      <c r="E102" t="str">
        <f>""</f>
        <v/>
      </c>
      <c r="F102" t="str">
        <f>""</f>
        <v/>
      </c>
      <c r="G102" t="str">
        <f>"880.00"</f>
        <v>880.00</v>
      </c>
      <c r="H102" t="str">
        <f>"Consorzio di bonifica Bacchiglione"</f>
        <v>Consorzio di bonifica Bacchiglione</v>
      </c>
      <c r="I102" t="str">
        <f>"92223390284"</f>
        <v>92223390284</v>
      </c>
      <c r="J102" t="str">
        <f>"23-AFFIDAMENTO DIRETTO"</f>
        <v>23-AFFIDAMENTO DIRETTO</v>
      </c>
      <c r="K102" t="str">
        <f>"02/09/2021"</f>
        <v>02/09/2021</v>
      </c>
      <c r="L102" t="str">
        <f>"13/09/2021"</f>
        <v>13/09/2021</v>
      </c>
      <c r="M102" t="str">
        <f>""</f>
        <v/>
      </c>
      <c r="N102" t="str">
        <f>"Sorme s.n.c. Via Monache 21 35030 Selvazzano Dentro PD"</f>
        <v>Sorme s.n.c. Via Monache 21 35030 Selvazzano Dentro PD</v>
      </c>
      <c r="O102" t="str">
        <f>"Sorme s.n.c. Via Monache 21 35030 Selvazzano Dentro PD"</f>
        <v>Sorme s.n.c. Via Monache 21 35030 Selvazzano Dentro PD</v>
      </c>
      <c r="P102" t="str">
        <f>"ZF032E96E5: [880.00€ ]"</f>
        <v>ZF032E96E5: [880.00€ ]</v>
      </c>
      <c r="Q102" t="str">
        <f>""</f>
        <v/>
      </c>
      <c r="R102" t="str">
        <f>""</f>
        <v/>
      </c>
      <c r="S102" t="str">
        <f>""</f>
        <v/>
      </c>
      <c r="T102" t="str">
        <f>"https://portaletrasparenza.consorziobacchiglione.it/dettagli/attodigara/7099/noleggio-miniescavatore-cingolato-hitachi-zx27-con-decespugliatore-forestale-per-lavori-presso-idrovora-noventana-nuovo.html"</f>
        <v>https://portaletrasparenza.consorziobacchiglione.it/dettagli/attodigara/7099/noleggio-miniescavatore-cingolato-hitachi-zx27-con-decespugliatore-forestale-per-lavori-presso-idrovora-noventana-nuovo.html</v>
      </c>
      <c r="U102" t="str">
        <f>"https://portaletrasparenza.consorziobacchiglione.it/download/attodigara/7099/63ac45bca0c0f.PDF"</f>
        <v>https://portaletrasparenza.consorziobacchiglione.it/download/attodigara/7099/63ac45bca0c0f.PDF</v>
      </c>
      <c r="V1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3" spans="1:22" x14ac:dyDescent="0.3">
      <c r="A103" t="str">
        <f>"Affidamento"</f>
        <v>Affidamento</v>
      </c>
      <c r="B103" t="str">
        <f>"Fornitura n.300 biglietti da visita stampati a colori su cartoncino 300gr per Area Progettazione e Area Tecnica Agraria Ambientale."</f>
        <v>Fornitura n.300 biglietti da visita stampati a colori su cartoncino 300gr per Area Progettazione e Area Tecnica Agraria Ambientale.</v>
      </c>
      <c r="C103" t="str">
        <f>"ZCA32E7329"</f>
        <v>ZCA32E7329</v>
      </c>
      <c r="D103" t="str">
        <f>"03/09/2021"</f>
        <v>03/09/2021</v>
      </c>
      <c r="E103" t="str">
        <f>""</f>
        <v/>
      </c>
      <c r="F103" t="str">
        <f>""</f>
        <v/>
      </c>
      <c r="G103" t="str">
        <f>"144.00"</f>
        <v>144.00</v>
      </c>
      <c r="H103" t="str">
        <f>"Consorzio di bonifica Bacchiglione"</f>
        <v>Consorzio di bonifica Bacchiglione</v>
      </c>
      <c r="I103" t="str">
        <f>"92223390284"</f>
        <v>92223390284</v>
      </c>
      <c r="J103" t="str">
        <f>"23-AFFIDAMENTO DIRETTO"</f>
        <v>23-AFFIDAMENTO DIRETTO</v>
      </c>
      <c r="K103" t="str">
        <f>"02/09/2021"</f>
        <v>02/09/2021</v>
      </c>
      <c r="L103" t="str">
        <f>"14/10/2021"</f>
        <v>14/10/2021</v>
      </c>
      <c r="M103" t="str">
        <f>""</f>
        <v/>
      </c>
      <c r="N103" t="str">
        <f>"Berchet ingegneria di stampa S.a.s. Via degli Scrovegni. 27 - 35131 Padova"</f>
        <v>Berchet ingegneria di stampa S.a.s. Via degli Scrovegni. 27 - 35131 Padova</v>
      </c>
      <c r="O103" t="str">
        <f>"Berchet ingegneria di stampa S.a.s. Via degli Scrovegni. 27 - 35131 Padova"</f>
        <v>Berchet ingegneria di stampa S.a.s. Via degli Scrovegni. 27 - 35131 Padova</v>
      </c>
      <c r="P103" t="str">
        <f>"ZCA32E7329: [144.00€ ]"</f>
        <v>ZCA32E7329: [144.00€ ]</v>
      </c>
      <c r="Q103" t="str">
        <f>""</f>
        <v/>
      </c>
      <c r="R103" t="str">
        <f>""</f>
        <v/>
      </c>
      <c r="S103" t="str">
        <f>""</f>
        <v/>
      </c>
      <c r="T103" t="str">
        <f>"https://portaletrasparenza.consorziobacchiglione.it/dettagli/attodigara/7098/fornitura-n-300-biglietti-da-visita-stampati-a-colori-su-cartoncino-300gr-per-area-progettazione-e-area-tecnica-agraria-ambientale.html"</f>
        <v>https://portaletrasparenza.consorziobacchiglione.it/dettagli/attodigara/7098/fornitura-n-300-biglietti-da-visita-stampati-a-colori-su-cartoncino-300gr-per-area-progettazione-e-area-tecnica-agraria-ambientale.html</v>
      </c>
      <c r="U103" t="str">
        <f>"https://portaletrasparenza.consorziobacchiglione.it/download/attodigara/7098/63ac45bb73e21.PDF"</f>
        <v>https://portaletrasparenza.consorziobacchiglione.it/download/attodigara/7098/63ac45bb73e21.PDF</v>
      </c>
      <c r="V1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4" spans="1:22" x14ac:dyDescent="0.3">
      <c r="A104" t="str">
        <f>"Affidamento"</f>
        <v>Affidamento</v>
      </c>
      <c r="B104" t="str">
        <f>"Fornitura arredo per ufficio su porzione sede Consorziale."</f>
        <v>Fornitura arredo per ufficio su porzione sede Consorziale.</v>
      </c>
      <c r="C104" t="str">
        <f>"ZA61BD19CC"</f>
        <v>ZA61BD19CC</v>
      </c>
      <c r="D104" t="str">
        <f>"04/11/2021"</f>
        <v>04/11/2021</v>
      </c>
      <c r="E104" t="str">
        <f>""</f>
        <v/>
      </c>
      <c r="F104" t="str">
        <f>""</f>
        <v/>
      </c>
      <c r="G104" t="str">
        <f>"6755.00"</f>
        <v>6755.00</v>
      </c>
      <c r="H104" t="str">
        <f>"Consorzio di bonifica Bacchiglione"</f>
        <v>Consorzio di bonifica Bacchiglione</v>
      </c>
      <c r="I104" t="str">
        <f>"92223390284"</f>
        <v>92223390284</v>
      </c>
      <c r="J104" t="str">
        <f>"04-PROCEDURA NEGOZIATA SENZA PREVIA PUBBLICAZIONE"</f>
        <v>04-PROCEDURA NEGOZIATA SENZA PREVIA PUBBLICAZIONE</v>
      </c>
      <c r="K104" t="str">
        <f>"02/11/2021"</f>
        <v>02/11/2021</v>
      </c>
      <c r="L104" t="str">
        <f>"03/01/2021"</f>
        <v>03/01/2021</v>
      </c>
      <c r="M104" t="str">
        <f>""</f>
        <v/>
      </c>
      <c r="N104" t="str">
        <f>"Antonello Finiture S.r.l. Via per Salvatronda 17A 31033 Castelfranco Veneto TV | Office Project General Architecture srl Via Flacco Valerio 61 35031 Abano Terme PD"</f>
        <v>Antonello Finiture S.r.l. Via per Salvatronda 17A 31033 Castelfranco Veneto TV | Office Project General Architecture srl Via Flacco Valerio 61 35031 Abano Terme PD</v>
      </c>
      <c r="O104" t="str">
        <f>"Office Project General Architecture srl Via Flacco Valerio 61 35031 Abano Terme PD"</f>
        <v>Office Project General Architecture srl Via Flacco Valerio 61 35031 Abano Terme PD</v>
      </c>
      <c r="P104" t="str">
        <f>"ZA61BD19CC: [6755.00€ ]"</f>
        <v>ZA61BD19CC: [6755.00€ ]</v>
      </c>
      <c r="Q104" t="str">
        <f>""</f>
        <v/>
      </c>
      <c r="R104" t="str">
        <f>""</f>
        <v/>
      </c>
      <c r="S104" t="str">
        <f>""</f>
        <v/>
      </c>
      <c r="T104" t="str">
        <f>"https://portaletrasparenza.consorziobacchiglione.it/dettagli/attodigara/867/fornitura-arredo-per-ufficio-su-porzione-sede-consorziale.html"</f>
        <v>https://portaletrasparenza.consorziobacchiglione.it/dettagli/attodigara/867/fornitura-arredo-per-ufficio-su-porzione-sede-consorziale.html</v>
      </c>
      <c r="U104" t="str">
        <f>""</f>
        <v/>
      </c>
      <c r="V1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5" spans="1:22" x14ac:dyDescent="0.3">
      <c r="A105" t="str">
        <f>"Affidamento"</f>
        <v>Affidamento</v>
      </c>
      <c r="B105" t="str">
        <f>"Realizzazione cavidotto per alimentazione paratoia Morandi - Processo ID 006-03."</f>
        <v>Realizzazione cavidotto per alimentazione paratoia Morandi - Processo ID 006-03.</v>
      </c>
      <c r="C105" t="str">
        <f>"ZB01BD45AC"</f>
        <v>ZB01BD45AC</v>
      </c>
      <c r="D105" t="str">
        <f>"04/11/2021"</f>
        <v>04/11/2021</v>
      </c>
      <c r="E105" t="str">
        <f>""</f>
        <v/>
      </c>
      <c r="F105" t="str">
        <f>""</f>
        <v/>
      </c>
      <c r="G105" t="str">
        <f>"6250.00"</f>
        <v>6250.00</v>
      </c>
      <c r="H105" t="str">
        <f>"Consorzio di bonifica Bacchiglione"</f>
        <v>Consorzio di bonifica Bacchiglione</v>
      </c>
      <c r="I105" t="str">
        <f>"92223390284"</f>
        <v>92223390284</v>
      </c>
      <c r="J105" t="str">
        <f>"23-AFFIDAMENTO DIRETTO"</f>
        <v>23-AFFIDAMENTO DIRETTO</v>
      </c>
      <c r="K105" t="str">
        <f>"02/11/2021"</f>
        <v>02/11/2021</v>
      </c>
      <c r="L105" t="str">
        <f>"23/12/2021"</f>
        <v>23/12/2021</v>
      </c>
      <c r="M105" t="str">
        <f>""</f>
        <v/>
      </c>
      <c r="N105" t="str">
        <f>"GPG S.r.l. | F.lli Collesei Srl"</f>
        <v>GPG S.r.l. | F.lli Collesei Srl</v>
      </c>
      <c r="O105" t="str">
        <f>"GPG S.r.l."</f>
        <v>GPG S.r.l.</v>
      </c>
      <c r="P105" t="str">
        <f>"ZB01BD45AC: [6250.00€ ]"</f>
        <v>ZB01BD45AC: [6250.00€ ]</v>
      </c>
      <c r="Q105" t="str">
        <f>""</f>
        <v/>
      </c>
      <c r="R105" t="str">
        <f>""</f>
        <v/>
      </c>
      <c r="S105" t="str">
        <f>""</f>
        <v/>
      </c>
      <c r="T105" t="str">
        <f>"https://portaletrasparenza.consorziobacchiglione.it/dettagli/attodigara/866/realizzazione-cavidotto-per-alimentazione-paratoia-morandi-processo-id-006-03.html"</f>
        <v>https://portaletrasparenza.consorziobacchiglione.it/dettagli/attodigara/866/realizzazione-cavidotto-per-alimentazione-paratoia-morandi-processo-id-006-03.html</v>
      </c>
      <c r="U105" t="str">
        <f>""</f>
        <v/>
      </c>
      <c r="V10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6" spans="1:22" x14ac:dyDescent="0.3">
      <c r="A106" t="str">
        <f>"Affidamento"</f>
        <v>Affidamento</v>
      </c>
      <c r="B106" t="str">
        <f>"Fornitura materiale vario per personale Consorziale"</f>
        <v>Fornitura materiale vario per personale Consorziale</v>
      </c>
      <c r="C106" t="str">
        <f>"ZCD33B72B3"</f>
        <v>ZCD33B72B3</v>
      </c>
      <c r="D106" t="str">
        <f>"04/11/2021"</f>
        <v>04/11/2021</v>
      </c>
      <c r="E106" t="str">
        <f>""</f>
        <v/>
      </c>
      <c r="F106" t="str">
        <f>""</f>
        <v/>
      </c>
      <c r="G106" t="str">
        <f>"9924.80"</f>
        <v>9924.80</v>
      </c>
      <c r="H106" t="str">
        <f>"Consorzio di bonifica Bacchiglione"</f>
        <v>Consorzio di bonifica Bacchiglione</v>
      </c>
      <c r="I106" t="str">
        <f>"92223390284"</f>
        <v>92223390284</v>
      </c>
      <c r="J106" t="str">
        <f>"23-AFFIDAMENTO DIRETTO"</f>
        <v>23-AFFIDAMENTO DIRETTO</v>
      </c>
      <c r="K106" t="str">
        <f>"02/11/2021"</f>
        <v>02/11/2021</v>
      </c>
      <c r="L106" t="str">
        <f>"25/03/2022"</f>
        <v>25/03/2022</v>
      </c>
      <c r="M106" t="str">
        <f>""</f>
        <v/>
      </c>
      <c r="N106" t="str">
        <f>"Chinello antinfortunistica via Padana 34 Z.I. Vigorovea di S.Angelo di Piove di Sacco PD"</f>
        <v>Chinello antinfortunistica via Padana 34 Z.I. Vigorovea di S.Angelo di Piove di Sacco PD</v>
      </c>
      <c r="O106" t="str">
        <f>"Chinello antinfortunistica via Padana 34 Z.I. Vigorovea di S.Angelo di Piove di Sacco PD"</f>
        <v>Chinello antinfortunistica via Padana 34 Z.I. Vigorovea di S.Angelo di Piove di Sacco PD</v>
      </c>
      <c r="P106" t="str">
        <f>"ZCD33B72B3: [9924.80€ ]"</f>
        <v>ZCD33B72B3: [9924.80€ ]</v>
      </c>
      <c r="Q106" t="str">
        <f>""</f>
        <v/>
      </c>
      <c r="R106" t="str">
        <f>""</f>
        <v/>
      </c>
      <c r="S106" t="str">
        <f>""</f>
        <v/>
      </c>
      <c r="T106" t="str">
        <f>"https://portaletrasparenza.consorziobacchiglione.it/dettagli/attodigara/7254/fornitura-materiale-vario-per-personale-consorziale.html"</f>
        <v>https://portaletrasparenza.consorziobacchiglione.it/dettagli/attodigara/7254/fornitura-materiale-vario-per-personale-consorziale.html</v>
      </c>
      <c r="U106" t="str">
        <f>"https://portaletrasparenza.consorziobacchiglione.it/download/attodigara/7254/63ac45e449c01.PDF"</f>
        <v>https://portaletrasparenza.consorziobacchiglione.it/download/attodigara/7254/63ac45e449c01.PDF</v>
      </c>
      <c r="V1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7" spans="1:22" x14ac:dyDescent="0.3">
      <c r="A107" t="str">
        <f>"Affidamento"</f>
        <v>Affidamento</v>
      </c>
      <c r="B107" t="str">
        <f>"Sostituzione camera Kabat 540/65-34 su mezzo targato: AKS681"</f>
        <v>Sostituzione camera Kabat 540/65-34 su mezzo targato: AKS681</v>
      </c>
      <c r="C107" t="str">
        <f>"ZE933B716C"</f>
        <v>ZE933B716C</v>
      </c>
      <c r="D107" t="str">
        <f>"04/11/2021"</f>
        <v>04/11/2021</v>
      </c>
      <c r="E107" t="str">
        <f>""</f>
        <v/>
      </c>
      <c r="F107" t="str">
        <f>""</f>
        <v/>
      </c>
      <c r="G107" t="str">
        <f>"206.00"</f>
        <v>206.00</v>
      </c>
      <c r="H107" t="str">
        <f>"Consorzio di bonifica Bacchiglione"</f>
        <v>Consorzio di bonifica Bacchiglione</v>
      </c>
      <c r="I107" t="str">
        <f>"92223390284"</f>
        <v>92223390284</v>
      </c>
      <c r="J107" t="str">
        <f>"23-AFFIDAMENTO DIRETTO"</f>
        <v>23-AFFIDAMENTO DIRETTO</v>
      </c>
      <c r="K107" t="str">
        <f>"02/11/2021"</f>
        <v>02/11/2021</v>
      </c>
      <c r="L107" t="str">
        <f>"30/11/2021"</f>
        <v>30/11/2021</v>
      </c>
      <c r="M107" t="str">
        <f>""</f>
        <v/>
      </c>
      <c r="N107" t="str">
        <f>"Ri.gom.ma S.R.L. Via Orlando, 47 - 30173 Campalto (VE)"</f>
        <v>Ri.gom.ma S.R.L. Via Orlando, 47 - 30173 Campalto (VE)</v>
      </c>
      <c r="O107" t="str">
        <f>"Ri.gom.ma S.R.L. Via Orlando, 47 - 30173 Campalto (VE)"</f>
        <v>Ri.gom.ma S.R.L. Via Orlando, 47 - 30173 Campalto (VE)</v>
      </c>
      <c r="P107" t="str">
        <f>"ZE933B716C: [206.00€ ]"</f>
        <v>ZE933B716C: [206.00€ ]</v>
      </c>
      <c r="Q107" t="str">
        <f>""</f>
        <v/>
      </c>
      <c r="R107" t="str">
        <f>""</f>
        <v/>
      </c>
      <c r="S107" t="str">
        <f>""</f>
        <v/>
      </c>
      <c r="T107" t="str">
        <f>"https://portaletrasparenza.consorziobacchiglione.it/dettagli/attodigara/7253/sostituzione-camera-kabat-540-65-34-su-mezzo-targato-aks681.html"</f>
        <v>https://portaletrasparenza.consorziobacchiglione.it/dettagli/attodigara/7253/sostituzione-camera-kabat-540-65-34-su-mezzo-targato-aks681.html</v>
      </c>
      <c r="U107" t="str">
        <f>"https://portaletrasparenza.consorziobacchiglione.it/download/attodigara/7253/63ac45e410f4b.PDF"</f>
        <v>https://portaletrasparenza.consorziobacchiglione.it/download/attodigara/7253/63ac45e410f4b.PDF</v>
      </c>
      <c r="V10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8" spans="1:22" x14ac:dyDescent="0.3">
      <c r="A108" t="str">
        <f>"Affidamento"</f>
        <v>Affidamento</v>
      </c>
      <c r="B108" t="str">
        <f>"Manutenzione e riparazione mezzo con targa: DS716AA"</f>
        <v>Manutenzione e riparazione mezzo con targa: DS716AA</v>
      </c>
      <c r="C108" t="str">
        <f>"Z6133B7010"</f>
        <v>Z6133B7010</v>
      </c>
      <c r="D108" t="str">
        <f>"04/11/2021"</f>
        <v>04/11/2021</v>
      </c>
      <c r="E108" t="str">
        <f>""</f>
        <v/>
      </c>
      <c r="F108" t="str">
        <f>""</f>
        <v/>
      </c>
      <c r="G108" t="str">
        <f>"350.00"</f>
        <v>350.00</v>
      </c>
      <c r="H108" t="str">
        <f>"Consorzio di bonifica Bacchiglione"</f>
        <v>Consorzio di bonifica Bacchiglione</v>
      </c>
      <c r="I108" t="str">
        <f>"92223390284"</f>
        <v>92223390284</v>
      </c>
      <c r="J108" t="str">
        <f>"23-AFFIDAMENTO DIRETTO"</f>
        <v>23-AFFIDAMENTO DIRETTO</v>
      </c>
      <c r="K108" t="str">
        <f>"02/11/2021"</f>
        <v>02/11/2021</v>
      </c>
      <c r="L108" t="str">
        <f>"16/11/2021"</f>
        <v>16/11/2021</v>
      </c>
      <c r="M108" t="str">
        <f>""</f>
        <v/>
      </c>
      <c r="N108" t="str">
        <f>"Autoservice sas via Brentella 4 35020 Codevigo PD"</f>
        <v>Autoservice sas via Brentella 4 35020 Codevigo PD</v>
      </c>
      <c r="O108" t="str">
        <f>"Autoservice sas via Brentella 4 35020 Codevigo PD"</f>
        <v>Autoservice sas via Brentella 4 35020 Codevigo PD</v>
      </c>
      <c r="P108" t="str">
        <f>"Z6133B7010: [350.00€ ]"</f>
        <v>Z6133B7010: [350.00€ ]</v>
      </c>
      <c r="Q108" t="str">
        <f>""</f>
        <v/>
      </c>
      <c r="R108" t="str">
        <f>""</f>
        <v/>
      </c>
      <c r="S108" t="str">
        <f>""</f>
        <v/>
      </c>
      <c r="T108" t="str">
        <f>"https://portaletrasparenza.consorziobacchiglione.it/dettagli/attodigara/7252/manutenzione-e-riparazione-mezzo-con-targa-ds716aa.html"</f>
        <v>https://portaletrasparenza.consorziobacchiglione.it/dettagli/attodigara/7252/manutenzione-e-riparazione-mezzo-con-targa-ds716aa.html</v>
      </c>
      <c r="U108" t="str">
        <f>"https://portaletrasparenza.consorziobacchiglione.it/download/attodigara/7252/63ac45e3cc4fd.PDF"</f>
        <v>https://portaletrasparenza.consorziobacchiglione.it/download/attodigara/7252/63ac45e3cc4fd.PDF</v>
      </c>
      <c r="V1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9" spans="1:22" x14ac:dyDescent="0.3">
      <c r="A109" t="str">
        <f>"Affidamento"</f>
        <v>Affidamento</v>
      </c>
      <c r="B109" t="str">
        <f>"Noleggio dumper per spostamento sasso su scolo Rialto"</f>
        <v>Noleggio dumper per spostamento sasso su scolo Rialto</v>
      </c>
      <c r="C109" t="str">
        <f>"ZC91C5566A"</f>
        <v>ZC91C5566A</v>
      </c>
      <c r="D109" t="str">
        <f>"04/11/2021"</f>
        <v>04/11/2021</v>
      </c>
      <c r="E109" t="str">
        <f>""</f>
        <v/>
      </c>
      <c r="F109" t="str">
        <f>""</f>
        <v/>
      </c>
      <c r="G109" t="str">
        <f>"4400.00"</f>
        <v>4400.00</v>
      </c>
      <c r="H109" t="str">
        <f>"Consorzio di bonifica Bacchiglione"</f>
        <v>Consorzio di bonifica Bacchiglione</v>
      </c>
      <c r="I109" t="str">
        <f>"92223390284"</f>
        <v>92223390284</v>
      </c>
      <c r="J109" t="str">
        <f>"23-AFFIDAMENTO DIRETTO"</f>
        <v>23-AFFIDAMENTO DIRETTO</v>
      </c>
      <c r="K109" t="str">
        <f>"02/12/2021"</f>
        <v>02/12/2021</v>
      </c>
      <c r="L109" t="str">
        <f>"04/01/2021"</f>
        <v>04/01/2021</v>
      </c>
      <c r="M109" t="str">
        <f>""</f>
        <v/>
      </c>
      <c r="N109" t="str">
        <f>"Viale Valter Via 1° Maggio 124 30010 Campagna Lupia VE"</f>
        <v>Viale Valter Via 1° Maggio 124 30010 Campagna Lupia VE</v>
      </c>
      <c r="O109" t="str">
        <f>"Viale Valter Via 1° Maggio 124 30010 Campagna Lupia VE"</f>
        <v>Viale Valter Via 1° Maggio 124 30010 Campagna Lupia VE</v>
      </c>
      <c r="P109" t="str">
        <f>"ZC91C5566A: [4400.00€ ]"</f>
        <v>ZC91C5566A: [4400.00€ ]</v>
      </c>
      <c r="Q109" t="str">
        <f>""</f>
        <v/>
      </c>
      <c r="R109" t="str">
        <f>""</f>
        <v/>
      </c>
      <c r="S109" t="str">
        <f>""</f>
        <v/>
      </c>
      <c r="T109" t="str">
        <f>"https://portaletrasparenza.consorziobacchiglione.it/dettagli/attodigara/967/noleggio-dumper-per-spostamento-sasso-su-scolo-rialto.html"</f>
        <v>https://portaletrasparenza.consorziobacchiglione.it/dettagli/attodigara/967/noleggio-dumper-per-spostamento-sasso-su-scolo-rialto.html</v>
      </c>
      <c r="U109" t="str">
        <f>""</f>
        <v/>
      </c>
      <c r="V1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0" spans="1:22" x14ac:dyDescent="0.3">
      <c r="A110" t="str">
        <f>"Affidamento"</f>
        <v>Affidamento</v>
      </c>
      <c r="B110" t="str">
        <f>"Corso sugli \'Aspetti civili e penali dei soggetti responsabili in materia di salute e sicurezza nei luoghi di lavoro\'"</f>
        <v>Corso sugli \'Aspetti civili e penali dei soggetti responsabili in materia di salute e sicurezza nei luoghi di lavoro\'</v>
      </c>
      <c r="C110" t="str">
        <f>"Z7F1C54278"</f>
        <v>Z7F1C54278</v>
      </c>
      <c r="D110" t="str">
        <f>"04/11/2021"</f>
        <v>04/11/2021</v>
      </c>
      <c r="E110" t="str">
        <f>""</f>
        <v/>
      </c>
      <c r="F110" t="str">
        <f>""</f>
        <v/>
      </c>
      <c r="G110" t="str">
        <f>"130.00"</f>
        <v>130.00</v>
      </c>
      <c r="H110" t="str">
        <f>"Consorzio di bonifica Bacchiglione"</f>
        <v>Consorzio di bonifica Bacchiglione</v>
      </c>
      <c r="I110" t="str">
        <f>"92223390284"</f>
        <v>92223390284</v>
      </c>
      <c r="J110" t="str">
        <f>"23-AFFIDAMENTO DIRETTO"</f>
        <v>23-AFFIDAMENTO DIRETTO</v>
      </c>
      <c r="K110" t="str">
        <f>"02/12/2021"</f>
        <v>02/12/2021</v>
      </c>
      <c r="L110" t="str">
        <f>"22/12/2021"</f>
        <v>22/12/2021</v>
      </c>
      <c r="M110" t="str">
        <f>""</f>
        <v/>
      </c>
      <c r="N110" t="str">
        <f>"FOREMA s.c.a.r.l. Via E.P. Masini 2 35131 Padova"</f>
        <v>FOREMA s.c.a.r.l. Via E.P. Masini 2 35131 Padova</v>
      </c>
      <c r="O110" t="str">
        <f>"FOREMA s.c.a.r.l. Via E.P. Masini 2 35131 Padova"</f>
        <v>FOREMA s.c.a.r.l. Via E.P. Masini 2 35131 Padova</v>
      </c>
      <c r="P110" t="str">
        <f>"Z7F1C54278: [130.00€ ]"</f>
        <v>Z7F1C54278: [130.00€ ]</v>
      </c>
      <c r="Q110" t="str">
        <f>""</f>
        <v/>
      </c>
      <c r="R110" t="str">
        <f>""</f>
        <v/>
      </c>
      <c r="S110" t="str">
        <f>""</f>
        <v/>
      </c>
      <c r="T110" t="str">
        <f>"https://portaletrasparenza.consorziobacchiglione.it/dettagli/attodigara/966/corso-sugli-aspetti-civili-e-penali-dei-soggetti-responsabili-in-materia-di-salute-e-sicurezza-nei-luoghi-di-lavoro.html"</f>
        <v>https://portaletrasparenza.consorziobacchiglione.it/dettagli/attodigara/966/corso-sugli-aspetti-civili-e-penali-dei-soggetti-responsabili-in-materia-di-salute-e-sicurezza-nei-luoghi-di-lavoro.html</v>
      </c>
      <c r="U110" t="str">
        <f>""</f>
        <v/>
      </c>
      <c r="V1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1" spans="1:22" x14ac:dyDescent="0.3">
      <c r="A111" t="str">
        <f>"Affidamento"</f>
        <v>Affidamento</v>
      </c>
      <c r="B111" t="str">
        <f>"Fornitura materiale vario per l'anno 2022 presso Bacino Sesta Presa e Delta Brenta"</f>
        <v>Fornitura materiale vario per l'anno 2022 presso Bacino Sesta Presa e Delta Brenta</v>
      </c>
      <c r="C111" t="str">
        <f>"Z03343A55D"</f>
        <v>Z03343A55D</v>
      </c>
      <c r="D111" t="str">
        <f>"03/12/2021"</f>
        <v>03/12/2021</v>
      </c>
      <c r="E111" t="str">
        <f>""</f>
        <v/>
      </c>
      <c r="F111" t="str">
        <f>""</f>
        <v/>
      </c>
      <c r="G111" t="str">
        <f>"4918.03"</f>
        <v>4918.03</v>
      </c>
      <c r="H111" t="str">
        <f>"Consorzio di bonifica Bacchiglione"</f>
        <v>Consorzio di bonifica Bacchiglione</v>
      </c>
      <c r="I111" t="str">
        <f>"92223390284"</f>
        <v>92223390284</v>
      </c>
      <c r="J111" t="str">
        <f>"23-AFFIDAMENTO DIRETTO"</f>
        <v>23-AFFIDAMENTO DIRETTO</v>
      </c>
      <c r="K111" t="str">
        <f>"02/12/2021"</f>
        <v>02/12/2021</v>
      </c>
      <c r="L111" t="str">
        <f>"06/04/2022"</f>
        <v>06/04/2022</v>
      </c>
      <c r="M111" t="str">
        <f>""</f>
        <v/>
      </c>
      <c r="N111" t="str">
        <f>"Ferramenta e cartoleria da Genny Via Vallona 65 - 35020 Conche di Codevigo"</f>
        <v>Ferramenta e cartoleria da Genny Via Vallona 65 - 35020 Conche di Codevigo</v>
      </c>
      <c r="O111" t="str">
        <f>"Ferramenta e cartoleria da Genny Via Vallona 65 - 35020 Conche di Codevigo"</f>
        <v>Ferramenta e cartoleria da Genny Via Vallona 65 - 35020 Conche di Codevigo</v>
      </c>
      <c r="P111" t="s">
        <v>186</v>
      </c>
      <c r="Q111" t="str">
        <f>""</f>
        <v/>
      </c>
      <c r="R111" t="str">
        <f>""</f>
        <v/>
      </c>
      <c r="S111" t="str">
        <f>""</f>
        <v/>
      </c>
      <c r="T111" t="str">
        <f>"https://portaletrasparenza.consorziobacchiglione.it/dettagli/attodigara/7333/fornitura-materiale-vario-per-l-anno-2022-presso-bacino-sesta-presa-e-delta-brenta.html"</f>
        <v>https://portaletrasparenza.consorziobacchiglione.it/dettagli/attodigara/7333/fornitura-materiale-vario-per-l-anno-2022-presso-bacino-sesta-presa-e-delta-brenta.html</v>
      </c>
      <c r="U111" t="str">
        <f>"https://portaletrasparenza.consorziobacchiglione.it/download/attodigara/7333/63ac45f503f85.PDF"</f>
        <v>https://portaletrasparenza.consorziobacchiglione.it/download/attodigara/7333/63ac45f503f85.PDF</v>
      </c>
      <c r="V11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2" spans="1:22" x14ac:dyDescent="0.3">
      <c r="A112" t="str">
        <f>"Affidamento"</f>
        <v>Affidamento</v>
      </c>
      <c r="B112" t="str">
        <f>"Tagliando e riparazione perdita tubo gasolio su mezzo targato: AJP870"</f>
        <v>Tagliando e riparazione perdita tubo gasolio su mezzo targato: AJP870</v>
      </c>
      <c r="C112" t="str">
        <f>"ZEA3439D08"</f>
        <v>ZEA3439D08</v>
      </c>
      <c r="D112" t="str">
        <f>"03/12/2021"</f>
        <v>03/12/2021</v>
      </c>
      <c r="E112" t="str">
        <f>""</f>
        <v/>
      </c>
      <c r="F112" t="str">
        <f>""</f>
        <v/>
      </c>
      <c r="G112" t="str">
        <f>"2193.88"</f>
        <v>2193.88</v>
      </c>
      <c r="H112" t="str">
        <f>"Consorzio di bonifica Bacchiglione"</f>
        <v>Consorzio di bonifica Bacchiglione</v>
      </c>
      <c r="I112" t="str">
        <f>"92223390284"</f>
        <v>92223390284</v>
      </c>
      <c r="J112" t="str">
        <f>"23-AFFIDAMENTO DIRETTO"</f>
        <v>23-AFFIDAMENTO DIRETTO</v>
      </c>
      <c r="K112" t="str">
        <f>"02/12/2021"</f>
        <v>02/12/2021</v>
      </c>
      <c r="L112" t="str">
        <f>"11/01/2022"</f>
        <v>11/01/2022</v>
      </c>
      <c r="M112" t="str">
        <f>""</f>
        <v/>
      </c>
      <c r="N112" t="str">
        <f>"Adriatica Commerciale Macchine s.r.l. Via dell'Artigianato 5 35020 Due Carrare PD"</f>
        <v>Adriatica Commerciale Macchine s.r.l. Via dell'Artigianato 5 35020 Due Carrare PD</v>
      </c>
      <c r="O112" t="str">
        <f>"Adriatica Commerciale Macchine s.r.l. Via dell'Artigianato 5 35020 Due Carrare PD"</f>
        <v>Adriatica Commerciale Macchine s.r.l. Via dell'Artigianato 5 35020 Due Carrare PD</v>
      </c>
      <c r="P112" t="str">
        <f>"ZEA3439D08: [2193.88€ ]"</f>
        <v>ZEA3439D08: [2193.88€ ]</v>
      </c>
      <c r="Q112" t="str">
        <f>""</f>
        <v/>
      </c>
      <c r="R112" t="str">
        <f>""</f>
        <v/>
      </c>
      <c r="S112" t="str">
        <f>""</f>
        <v/>
      </c>
      <c r="T112" t="str">
        <f>"https://portaletrasparenza.consorziobacchiglione.it/dettagli/attodigara/7332/tagliando-e-riparazione-perdita-tubo-gasolio-su-mezzo-targato-ajp870.html"</f>
        <v>https://portaletrasparenza.consorziobacchiglione.it/dettagli/attodigara/7332/tagliando-e-riparazione-perdita-tubo-gasolio-su-mezzo-targato-ajp870.html</v>
      </c>
      <c r="U112" t="str">
        <f>"https://portaletrasparenza.consorziobacchiglione.it/download/attodigara/7332/63ac45f4bf248.PDF"</f>
        <v>https://portaletrasparenza.consorziobacchiglione.it/download/attodigara/7332/63ac45f4bf248.PDF</v>
      </c>
      <c r="V1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3" spans="1:22" x14ac:dyDescent="0.3">
      <c r="A113" t="str">
        <f>"Affidamento"</f>
        <v>Affidamento</v>
      </c>
      <c r="B113" t="str">
        <f>"Fornitura di 12 portatili HP Probook 250 G8 - AMD Ryzen 7 5700U - Ram 16 GB - SSD 512 + relative borse da assegnare al personale d'ufficio"</f>
        <v>Fornitura di 12 portatili HP Probook 250 G8 - AMD Ryzen 7 5700U - Ram 16 GB - SSD 512 + relative borse da assegnare al personale d'ufficio</v>
      </c>
      <c r="C113" t="str">
        <f>"ZD83434FA0"</f>
        <v>ZD83434FA0</v>
      </c>
      <c r="D113" t="str">
        <f>"03/12/2021"</f>
        <v>03/12/2021</v>
      </c>
      <c r="E113" t="str">
        <f>""</f>
        <v/>
      </c>
      <c r="F113" t="str">
        <f>""</f>
        <v/>
      </c>
      <c r="G113" t="str">
        <f>"8388.00"</f>
        <v>8388.00</v>
      </c>
      <c r="H113" t="str">
        <f>"Consorzio di bonifica Bacchiglione"</f>
        <v>Consorzio di bonifica Bacchiglione</v>
      </c>
      <c r="I113" t="str">
        <f>"92223390284"</f>
        <v>92223390284</v>
      </c>
      <c r="J113" t="str">
        <f>"23-AFFIDAMENTO DIRETTO"</f>
        <v>23-AFFIDAMENTO DIRETTO</v>
      </c>
      <c r="K113" t="str">
        <f>"02/12/2021"</f>
        <v>02/12/2021</v>
      </c>
      <c r="L113" t="str">
        <f>"23/02/2022"</f>
        <v>23/02/2022</v>
      </c>
      <c r="M113" t="str">
        <f>""</f>
        <v/>
      </c>
      <c r="N113" t="str">
        <f>"GBR Rossetto Via E.Fermi 7-9 35030 Rubano PD | Idea Service Due S.R.L. Via Tempesta, 63 - 30033 Noale (VE) | Hard Service S.r.l. Via del Progresso, 2 35010 Peraga di Vigonza (PD) | Wintech Technologies Spa Via Vigonovese, 79-B 31217 Padova (PD)"</f>
        <v>GBR Rossetto Via E.Fermi 7-9 35030 Rubano PD | Idea Service Due S.R.L. Via Tempesta, 63 - 30033 Noale (VE) | Hard Service S.r.l. Via del Progresso, 2 35010 Peraga di Vigonza (PD) | Wintech Technologies Spa Via Vigonovese, 79-B 31217 Padova (PD)</v>
      </c>
      <c r="O113" t="str">
        <f>"Hard Service S.r.l. Via del Progresso, 2 35010 Peraga di Vigonza (PD)"</f>
        <v>Hard Service S.r.l. Via del Progresso, 2 35010 Peraga di Vigonza (PD)</v>
      </c>
      <c r="P113" t="str">
        <f>"ZD83434FA0: [8388.00€ ]"</f>
        <v>ZD83434FA0: [8388.00€ ]</v>
      </c>
      <c r="Q113" t="str">
        <f>""</f>
        <v/>
      </c>
      <c r="R113" t="str">
        <f>""</f>
        <v/>
      </c>
      <c r="S113" t="str">
        <f>""</f>
        <v/>
      </c>
      <c r="T113" t="str">
        <f>"https://portaletrasparenza.consorziobacchiglione.it/dettagli/attodigara/7331/fornitura-di-12-portatili-hp-probook-250-g8-amd-ryzen-7-5700u-ram-16-gb-ssd-512-relative-borse-da-assegnare-al-personale-d-ufficio.html"</f>
        <v>https://portaletrasparenza.consorziobacchiglione.it/dettagli/attodigara/7331/fornitura-di-12-portatili-hp-probook-250-g8-amd-ryzen-7-5700u-ram-16-gb-ssd-512-relative-borse-da-assegnare-al-personale-d-ufficio.html</v>
      </c>
      <c r="U113" t="str">
        <f>"https://portaletrasparenza.consorziobacchiglione.it/download/attodigara/7331/63ac45f485993.PDF"</f>
        <v>https://portaletrasparenza.consorziobacchiglione.it/download/attodigara/7331/63ac45f485993.PDF</v>
      </c>
      <c r="V1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4" spans="1:22" x14ac:dyDescent="0.3">
      <c r="A114" t="str">
        <f>"Affidamento"</f>
        <v>Affidamento</v>
      </c>
      <c r="B114" t="str">
        <f>"Manutenzione e riparazione mezzo con targa: AFW043"</f>
        <v>Manutenzione e riparazione mezzo con targa: AFW043</v>
      </c>
      <c r="C114" t="str">
        <f>"Z6C1857F68"</f>
        <v>Z6C1857F68</v>
      </c>
      <c r="D114" t="str">
        <f>"04/11/2021"</f>
        <v>04/11/2021</v>
      </c>
      <c r="E114" t="str">
        <f>""</f>
        <v/>
      </c>
      <c r="F114" t="str">
        <f>""</f>
        <v/>
      </c>
      <c r="G114" t="str">
        <f>"1012.24"</f>
        <v>1012.24</v>
      </c>
      <c r="H114" t="str">
        <f>"Consorzio di bonifica Bacchiglione"</f>
        <v>Consorzio di bonifica Bacchiglione</v>
      </c>
      <c r="I114" t="str">
        <f>"92223390284"</f>
        <v>92223390284</v>
      </c>
      <c r="J114" t="str">
        <f>"23-AFFIDAMENTO DIRETTO"</f>
        <v>23-AFFIDAMENTO DIRETTO</v>
      </c>
      <c r="K114" t="str">
        <f>"03/02/2021"</f>
        <v>03/02/2021</v>
      </c>
      <c r="L114" t="str">
        <f>"26/04/2021"</f>
        <v>26/04/2021</v>
      </c>
      <c r="M114" t="str">
        <f>""</f>
        <v/>
      </c>
      <c r="N114" t="str">
        <f>"Autoriparazioni Ravazzolo s.r.l. Via Roma 259a 35030 Montemerlo di Cervarese Santa Croce PD"</f>
        <v>Autoriparazioni Ravazzolo s.r.l. Via Roma 259a 35030 Montemerlo di Cervarese Santa Croce PD</v>
      </c>
      <c r="O114" t="str">
        <f>"Autoriparazioni Ravazzolo s.r.l. Via Roma 259a 35030 Montemerlo di Cervarese Santa Croce PD"</f>
        <v>Autoriparazioni Ravazzolo s.r.l. Via Roma 259a 35030 Montemerlo di Cervarese Santa Croce PD</v>
      </c>
      <c r="P114" t="str">
        <f>"Z6C1857F68: [1012.24€ ]"</f>
        <v>Z6C1857F68: [1012.24€ ]</v>
      </c>
      <c r="Q114" t="str">
        <f>""</f>
        <v/>
      </c>
      <c r="R114" t="str">
        <f>""</f>
        <v/>
      </c>
      <c r="S114" t="str">
        <f>""</f>
        <v/>
      </c>
      <c r="T114" t="str">
        <f>"https://portaletrasparenza.consorziobacchiglione.it/dettagli/attodigara/124/manutenzione-e-riparazione-mezzo-con-targa-afw043.html"</f>
        <v>https://portaletrasparenza.consorziobacchiglione.it/dettagli/attodigara/124/manutenzione-e-riparazione-mezzo-con-targa-afw043.html</v>
      </c>
      <c r="U114" t="str">
        <f>""</f>
        <v/>
      </c>
      <c r="V11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5" spans="1:22" x14ac:dyDescent="0.3">
      <c r="A115" t="str">
        <f>"Affidamento"</f>
        <v>Affidamento</v>
      </c>
      <c r="B115" t="str">
        <f>"Inversione gomme ant/post, riparazione copertura, bilanciatura, smont/montaggio su mezzi con targa: DS718AA, PDAF480, EW924ED, CB934XY, AKA712, DA205YW, DA204YW."</f>
        <v>Inversione gomme ant/post, riparazione copertura, bilanciatura, smont/montaggio su mezzi con targa: DS718AA, PDAF480, EW924ED, CB934XY, AKA712, DA205YW, DA204YW.</v>
      </c>
      <c r="C115" t="str">
        <f>"ZF5185773B"</f>
        <v>ZF5185773B</v>
      </c>
      <c r="D115" t="str">
        <f>"04/11/2021"</f>
        <v>04/11/2021</v>
      </c>
      <c r="E115" t="str">
        <f>""</f>
        <v/>
      </c>
      <c r="F115" t="str">
        <f>""</f>
        <v/>
      </c>
      <c r="G115" t="str">
        <f>"351.00"</f>
        <v>351.00</v>
      </c>
      <c r="H115" t="str">
        <f>"Consorzio di bonifica Bacchiglione"</f>
        <v>Consorzio di bonifica Bacchiglione</v>
      </c>
      <c r="I115" t="str">
        <f>"92223390284"</f>
        <v>92223390284</v>
      </c>
      <c r="J115" t="str">
        <f>"23-AFFIDAMENTO DIRETTO"</f>
        <v>23-AFFIDAMENTO DIRETTO</v>
      </c>
      <c r="K115" t="str">
        <f>"03/02/2021"</f>
        <v>03/02/2021</v>
      </c>
      <c r="L115" t="str">
        <f>"10/03/2021"</f>
        <v>10/03/2021</v>
      </c>
      <c r="M115" t="str">
        <f>""</f>
        <v/>
      </c>
      <c r="N115" t="str">
        <f>"Galesso Roberto Via San Rocco 52B 35028 Piove di Sacco PD"</f>
        <v>Galesso Roberto Via San Rocco 52B 35028 Piove di Sacco PD</v>
      </c>
      <c r="O115" t="str">
        <f>"Galesso Roberto Via San Rocco 52B 35028 Piove di Sacco PD"</f>
        <v>Galesso Roberto Via San Rocco 52B 35028 Piove di Sacco PD</v>
      </c>
      <c r="P115" t="str">
        <f>"ZF5185773B: [351.00€ ]"</f>
        <v>ZF5185773B: [351.00€ ]</v>
      </c>
      <c r="Q115" t="str">
        <f>""</f>
        <v/>
      </c>
      <c r="R115" t="str">
        <f>""</f>
        <v/>
      </c>
      <c r="S115" t="str">
        <f>""</f>
        <v/>
      </c>
      <c r="T115" t="str">
        <f>"https://portaletrasparenza.consorziobacchiglione.it/dettagli/attodigara/123/inversione-gomme-ant-post-riparazione-copertura-bilanciatura-smont-montaggio-su-mezzi-con-targa-ds718aa-pdaf480-ew924ed-cb934xy-aka712-da205yw-da204yw.html"</f>
        <v>https://portaletrasparenza.consorziobacchiglione.it/dettagli/attodigara/123/inversione-gomme-ant-post-riparazione-copertura-bilanciatura-smont-montaggio-su-mezzi-con-targa-ds718aa-pdaf480-ew924ed-cb934xy-aka712-da205yw-da204yw.html</v>
      </c>
      <c r="U115" t="str">
        <f>""</f>
        <v/>
      </c>
      <c r="V11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6" spans="1:22" x14ac:dyDescent="0.3">
      <c r="A116" t="str">
        <f>"Affidamento"</f>
        <v>Affidamento</v>
      </c>
      <c r="B116" t="str">
        <f>"Trasporto materiale fangoso da scolo Menona e Canella su argini scolo Rialto."</f>
        <v>Trasporto materiale fangoso da scolo Menona e Canella su argini scolo Rialto.</v>
      </c>
      <c r="C116" t="str">
        <f>"Z681857290"</f>
        <v>Z681857290</v>
      </c>
      <c r="D116" t="str">
        <f>"04/11/2021"</f>
        <v>04/11/2021</v>
      </c>
      <c r="E116" t="str">
        <f>""</f>
        <v/>
      </c>
      <c r="F116" t="str">
        <f>""</f>
        <v/>
      </c>
      <c r="G116" t="str">
        <f>"11018.00"</f>
        <v>11018.00</v>
      </c>
      <c r="H116" t="str">
        <f>"Consorzio di bonifica Bacchiglione"</f>
        <v>Consorzio di bonifica Bacchiglione</v>
      </c>
      <c r="I116" t="str">
        <f>"92223390284"</f>
        <v>92223390284</v>
      </c>
      <c r="J116" t="str">
        <f>"23-AFFIDAMENTO DIRETTO"</f>
        <v>23-AFFIDAMENTO DIRETTO</v>
      </c>
      <c r="K116" t="str">
        <f>"03/02/2021"</f>
        <v>03/02/2021</v>
      </c>
      <c r="L116" t="str">
        <f>"24/02/2021"</f>
        <v>24/02/2021</v>
      </c>
      <c r="M116" t="str">
        <f>""</f>
        <v/>
      </c>
      <c r="N116" t="str">
        <f>"Martini Luciano s.r.l. Via Bagnara Alta 1172 35030 VO PD"</f>
        <v>Martini Luciano s.r.l. Via Bagnara Alta 1172 35030 VO PD</v>
      </c>
      <c r="O116" t="str">
        <f>"Martini Luciano s.r.l. Via Bagnara Alta 1172 35030 VO PD"</f>
        <v>Martini Luciano s.r.l. Via Bagnara Alta 1172 35030 VO PD</v>
      </c>
      <c r="P116" t="str">
        <f>"Z681857290: [11018.00€ ]"</f>
        <v>Z681857290: [11018.00€ ]</v>
      </c>
      <c r="Q116" t="str">
        <f>""</f>
        <v/>
      </c>
      <c r="R116" t="str">
        <f>""</f>
        <v/>
      </c>
      <c r="S116" t="str">
        <f>""</f>
        <v/>
      </c>
      <c r="T116" t="str">
        <f>"https://portaletrasparenza.consorziobacchiglione.it/dettagli/attodigara/122/trasporto-materiale-fangoso-da-scolo-menona-e-canella-su-argini-scolo-rialto.html"</f>
        <v>https://portaletrasparenza.consorziobacchiglione.it/dettagli/attodigara/122/trasporto-materiale-fangoso-da-scolo-menona-e-canella-su-argini-scolo-rialto.html</v>
      </c>
      <c r="U116" t="str">
        <f>""</f>
        <v/>
      </c>
      <c r="V11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7" spans="1:22" x14ac:dyDescent="0.3">
      <c r="A117" t="str">
        <f>"Affidamento"</f>
        <v>Affidamento</v>
      </c>
      <c r="B117" t="str">
        <f>"Fornitura Hard Disk , tastiera e mouse per server tecnici, n 3 monitor per Sig.ra Soldà ,Dott.ssa Zaramella e Dott.ssa Zatti , sistema operativo per Sig. Pavanello."</f>
        <v>Fornitura Hard Disk , tastiera e mouse per server tecnici, n 3 monitor per Sig.ra Soldà ,Dott.ssa Zaramella e Dott.ssa Zatti , sistema operativo per Sig. Pavanello.</v>
      </c>
      <c r="C117" t="str">
        <f>"Z29185704A"</f>
        <v>Z29185704A</v>
      </c>
      <c r="D117" t="str">
        <f>"04/11/2021"</f>
        <v>04/11/2021</v>
      </c>
      <c r="E117" t="str">
        <f>""</f>
        <v/>
      </c>
      <c r="F117" t="str">
        <f>""</f>
        <v/>
      </c>
      <c r="G117" t="str">
        <f>"1255.00"</f>
        <v>1255.00</v>
      </c>
      <c r="H117" t="str">
        <f>"Consorzio di bonifica Bacchiglione"</f>
        <v>Consorzio di bonifica Bacchiglione</v>
      </c>
      <c r="I117" t="str">
        <f>"92223390284"</f>
        <v>92223390284</v>
      </c>
      <c r="J117" t="str">
        <f>"23-AFFIDAMENTO DIRETTO"</f>
        <v>23-AFFIDAMENTO DIRETTO</v>
      </c>
      <c r="K117" t="str">
        <f>"03/02/2021"</f>
        <v>03/02/2021</v>
      </c>
      <c r="L117" t="str">
        <f>"22/02/2021"</f>
        <v>22/02/2021</v>
      </c>
      <c r="M117" t="str">
        <f>""</f>
        <v/>
      </c>
      <c r="N117" t="str">
        <f>"TPH Elettronica s.a.s. Via N. Pizzolo 51A 35132 Padova"</f>
        <v>TPH Elettronica s.a.s. Via N. Pizzolo 51A 35132 Padova</v>
      </c>
      <c r="O117" t="str">
        <f>"TPH Elettronica s.a.s. Via N. Pizzolo 51A 35132 Padova"</f>
        <v>TPH Elettronica s.a.s. Via N. Pizzolo 51A 35132 Padova</v>
      </c>
      <c r="P117" t="str">
        <f>"Z29185704A: [1255.00€ ]"</f>
        <v>Z29185704A: [1255.00€ ]</v>
      </c>
      <c r="Q117" t="str">
        <f>""</f>
        <v/>
      </c>
      <c r="R117" t="str">
        <f>""</f>
        <v/>
      </c>
      <c r="S117" t="str">
        <f>""</f>
        <v/>
      </c>
      <c r="T117" t="str">
        <f>"https://portaletrasparenza.consorziobacchiglione.it/dettagli/attodigara/121/fornitura-hard-disk-tastiera-e-mouse-per-server-tecnici-n-3-monitor-per-sig-ra-solda-dott-ssa-zaramella-e-dott-ssa-zatti-sistema-operativo-per-sig-pavanello.html"</f>
        <v>https://portaletrasparenza.consorziobacchiglione.it/dettagli/attodigara/121/fornitura-hard-disk-tastiera-e-mouse-per-server-tecnici-n-3-monitor-per-sig-ra-solda-dott-ssa-zaramella-e-dott-ssa-zatti-sistema-operativo-per-sig-pavanello.html</v>
      </c>
      <c r="U117" t="str">
        <f>""</f>
        <v/>
      </c>
      <c r="V11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8" spans="1:22" x14ac:dyDescent="0.3">
      <c r="A118" t="str">
        <f>"Affidamento"</f>
        <v>Affidamento</v>
      </c>
      <c r="B118" t="str">
        <f>"Preventivo di riparazione e manutenzione trattorino Viking n 1 C.O.S.Margherita."</f>
        <v>Preventivo di riparazione e manutenzione trattorino Viking n 1 C.O.S.Margherita.</v>
      </c>
      <c r="C118" t="str">
        <f>"Z2F1856C06"</f>
        <v>Z2F1856C06</v>
      </c>
      <c r="D118" t="str">
        <f>"04/11/2021"</f>
        <v>04/11/2021</v>
      </c>
      <c r="E118" t="str">
        <f>""</f>
        <v/>
      </c>
      <c r="F118" t="str">
        <f>""</f>
        <v/>
      </c>
      <c r="G118" t="str">
        <f>"948.40"</f>
        <v>948.40</v>
      </c>
      <c r="H118" t="str">
        <f>"Consorzio di bonifica Bacchiglione"</f>
        <v>Consorzio di bonifica Bacchiglione</v>
      </c>
      <c r="I118" t="str">
        <f>"92223390284"</f>
        <v>92223390284</v>
      </c>
      <c r="J118" t="str">
        <f>"23-AFFIDAMENTO DIRETTO"</f>
        <v>23-AFFIDAMENTO DIRETTO</v>
      </c>
      <c r="K118" t="str">
        <f>"03/02/2021"</f>
        <v>03/02/2021</v>
      </c>
      <c r="L118" t="str">
        <f>"22/02/2021"</f>
        <v>22/02/2021</v>
      </c>
      <c r="M118" t="str">
        <f>""</f>
        <v/>
      </c>
      <c r="N118" t="str">
        <f>"Frizzarin Riccardo Via Papa Giovanni XXXIII 20 35026 Conselve PD"</f>
        <v>Frizzarin Riccardo Via Papa Giovanni XXXIII 20 35026 Conselve PD</v>
      </c>
      <c r="O118" t="str">
        <f>"Frizzarin Riccardo Via Papa Giovanni XXXIII 20 35026 Conselve PD"</f>
        <v>Frizzarin Riccardo Via Papa Giovanni XXXIII 20 35026 Conselve PD</v>
      </c>
      <c r="P118" t="str">
        <f>"Z2F1856C06: [948.40€ ]"</f>
        <v>Z2F1856C06: [948.40€ ]</v>
      </c>
      <c r="Q118" t="str">
        <f>""</f>
        <v/>
      </c>
      <c r="R118" t="str">
        <f>""</f>
        <v/>
      </c>
      <c r="S118" t="str">
        <f>""</f>
        <v/>
      </c>
      <c r="T118" t="str">
        <f>"https://portaletrasparenza.consorziobacchiglione.it/dettagli/attodigara/120/preventivo-di-riparazione-e-manutenzione-trattorino-viking-n-1-c-o-s-margherita.html"</f>
        <v>https://portaletrasparenza.consorziobacchiglione.it/dettagli/attodigara/120/preventivo-di-riparazione-e-manutenzione-trattorino-viking-n-1-c-o-s-margherita.html</v>
      </c>
      <c r="U118" t="str">
        <f>""</f>
        <v/>
      </c>
      <c r="V11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9" spans="1:22" x14ac:dyDescent="0.3">
      <c r="A119" t="str">
        <f>"Affidamento"</f>
        <v>Affidamento</v>
      </c>
      <c r="B119" t="str">
        <f>"Fornitura materiale D.P.I. per personale di campagna."</f>
        <v>Fornitura materiale D.P.I. per personale di campagna.</v>
      </c>
      <c r="C119" t="str">
        <f>"ZD81856792"</f>
        <v>ZD81856792</v>
      </c>
      <c r="D119" t="str">
        <f>"04/11/2021"</f>
        <v>04/11/2021</v>
      </c>
      <c r="E119" t="str">
        <f>""</f>
        <v/>
      </c>
      <c r="F119" t="str">
        <f>""</f>
        <v/>
      </c>
      <c r="G119" t="str">
        <f>"4743.50"</f>
        <v>4743.50</v>
      </c>
      <c r="H119" t="str">
        <f>"Consorzio di bonifica Bacchiglione"</f>
        <v>Consorzio di bonifica Bacchiglione</v>
      </c>
      <c r="I119" t="str">
        <f>"92223390284"</f>
        <v>92223390284</v>
      </c>
      <c r="J119" t="str">
        <f>"23-AFFIDAMENTO DIRETTO"</f>
        <v>23-AFFIDAMENTO DIRETTO</v>
      </c>
      <c r="K119" t="str">
        <f>"03/02/2021"</f>
        <v>03/02/2021</v>
      </c>
      <c r="L119" t="str">
        <f>"18/07/2021"</f>
        <v>18/07/2021</v>
      </c>
      <c r="M119" t="str">
        <f>""</f>
        <v/>
      </c>
      <c r="N119" t="str">
        <f>"SIR Safety System S.p.A. Zona Industriale S. Maria degli Angeli 06088 Assisi PG"</f>
        <v>SIR Safety System S.p.A. Zona Industriale S. Maria degli Angeli 06088 Assisi PG</v>
      </c>
      <c r="O119" t="str">
        <f>"SIR Safety System S.p.A. Zona Industriale S. Maria degli Angeli 06088 Assisi PG"</f>
        <v>SIR Safety System S.p.A. Zona Industriale S. Maria degli Angeli 06088 Assisi PG</v>
      </c>
      <c r="P119" t="str">
        <f>"ZD81856792: [4743.50€ ]"</f>
        <v>ZD81856792: [4743.50€ ]</v>
      </c>
      <c r="Q119" t="str">
        <f>""</f>
        <v/>
      </c>
      <c r="R119" t="str">
        <f>""</f>
        <v/>
      </c>
      <c r="S119" t="str">
        <f>""</f>
        <v/>
      </c>
      <c r="T119" t="str">
        <f>"https://portaletrasparenza.consorziobacchiglione.it/dettagli/attodigara/119/fornitura-materiale-d-p-i-per-personale-di-campagna.html"</f>
        <v>https://portaletrasparenza.consorziobacchiglione.it/dettagli/attodigara/119/fornitura-materiale-d-p-i-per-personale-di-campagna.html</v>
      </c>
      <c r="U119" t="str">
        <f>""</f>
        <v/>
      </c>
      <c r="V11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0" spans="1:22" x14ac:dyDescent="0.3">
      <c r="A120" t="str">
        <f>"Affidamento"</f>
        <v>Affidamento</v>
      </c>
      <c r="B120" t="str">
        <f>"Fornitura pannelli in policarbonato per posizionamento tag all interno dei mezzi operativi"</f>
        <v>Fornitura pannelli in policarbonato per posizionamento tag all interno dei mezzi operativi</v>
      </c>
      <c r="C120" t="str">
        <f>"ZD8307CD1A"</f>
        <v>ZD8307CD1A</v>
      </c>
      <c r="D120" t="str">
        <f>"05/02/2021"</f>
        <v>05/02/2021</v>
      </c>
      <c r="E120" t="str">
        <f>""</f>
        <v/>
      </c>
      <c r="F120" t="str">
        <f>""</f>
        <v/>
      </c>
      <c r="G120" t="str">
        <f>"150.00"</f>
        <v>150.00</v>
      </c>
      <c r="H120" t="str">
        <f>"Consorzio di bonifica Bacchiglione"</f>
        <v>Consorzio di bonifica Bacchiglione</v>
      </c>
      <c r="I120" t="str">
        <f>"92223390284"</f>
        <v>92223390284</v>
      </c>
      <c r="J120" t="str">
        <f>"23-AFFIDAMENTO DIRETTO"</f>
        <v>23-AFFIDAMENTO DIRETTO</v>
      </c>
      <c r="K120" t="str">
        <f>"03/02/2021"</f>
        <v>03/02/2021</v>
      </c>
      <c r="L120" t="str">
        <f>"26/02/2021"</f>
        <v>26/02/2021</v>
      </c>
      <c r="M120" t="str">
        <f>""</f>
        <v/>
      </c>
      <c r="N120" t="str">
        <f>"Distrettozerocinque SRL via del lavoro n.5 - 30031 Dolo (VE)"</f>
        <v>Distrettozerocinque SRL via del lavoro n.5 - 30031 Dolo (VE)</v>
      </c>
      <c r="O120" t="str">
        <f>"Distrettozerocinque SRL via del lavoro n.5 - 30031 Dolo (VE)"</f>
        <v>Distrettozerocinque SRL via del lavoro n.5 - 30031 Dolo (VE)</v>
      </c>
      <c r="P120" t="str">
        <f>"ZD8307CD1A: [150.00€ ]"</f>
        <v>ZD8307CD1A: [150.00€ ]</v>
      </c>
      <c r="Q120" t="str">
        <f>""</f>
        <v/>
      </c>
      <c r="R120" t="str">
        <f>""</f>
        <v/>
      </c>
      <c r="S120" t="str">
        <f>""</f>
        <v/>
      </c>
      <c r="T120" t="str">
        <f>"https://portaletrasparenza.consorziobacchiglione.it/dettagli/attodigara/6604/fornitura-pannelli-in-policarbonato-per-posizionamento-tag-all-interno-dei-mezzi-operativi.html"</f>
        <v>https://portaletrasparenza.consorziobacchiglione.it/dettagli/attodigara/6604/fornitura-pannelli-in-policarbonato-per-posizionamento-tag-all-interno-dei-mezzi-operativi.html</v>
      </c>
      <c r="U120" t="str">
        <f>"https://portaletrasparenza.consorziobacchiglione.it/download/attodigara/6604/63ac455679813.PDF"</f>
        <v>https://portaletrasparenza.consorziobacchiglione.it/download/attodigara/6604/63ac455679813.PDF</v>
      </c>
      <c r="V12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1" spans="1:22" x14ac:dyDescent="0.3">
      <c r="A121" t="str">
        <f>"Affidamento"</f>
        <v>Affidamento</v>
      </c>
      <c r="B121" t="str">
        <f>"Manutenzione e riparazione mezzo con targa: AGZ838."</f>
        <v>Manutenzione e riparazione mezzo con targa: AGZ838.</v>
      </c>
      <c r="C121" t="str">
        <f>"ZBC18D1D8D"</f>
        <v>ZBC18D1D8D</v>
      </c>
      <c r="D121" t="str">
        <f>"04/11/2021"</f>
        <v>04/11/2021</v>
      </c>
      <c r="E121" t="str">
        <f>""</f>
        <v/>
      </c>
      <c r="F121" t="str">
        <f>""</f>
        <v/>
      </c>
      <c r="G121" t="str">
        <f>"4049.35"</f>
        <v>4049.35</v>
      </c>
      <c r="H121" t="str">
        <f>"Consorzio di bonifica Bacchiglione"</f>
        <v>Consorzio di bonifica Bacchiglione</v>
      </c>
      <c r="I121" t="str">
        <f>"92223390284"</f>
        <v>92223390284</v>
      </c>
      <c r="J121" t="str">
        <f>"23-AFFIDAMENTO DIRETTO"</f>
        <v>23-AFFIDAMENTO DIRETTO</v>
      </c>
      <c r="K121" t="str">
        <f>"03/03/2021"</f>
        <v>03/03/2021</v>
      </c>
      <c r="L121" t="str">
        <f>"26/04/2021"</f>
        <v>26/04/2021</v>
      </c>
      <c r="M121" t="str">
        <f>""</f>
        <v/>
      </c>
      <c r="N121" t="str">
        <f>"Adriatica Commerciale Macchine s.r.l. Via dell'Artigianato 5 35020 Due Carrare PD"</f>
        <v>Adriatica Commerciale Macchine s.r.l. Via dell'Artigianato 5 35020 Due Carrare PD</v>
      </c>
      <c r="O121" t="str">
        <f>"Adriatica Commerciale Macchine s.r.l. Via dell'Artigianato 5 35020 Due Carrare PD"</f>
        <v>Adriatica Commerciale Macchine s.r.l. Via dell'Artigianato 5 35020 Due Carrare PD</v>
      </c>
      <c r="P121" t="str">
        <f>"ZBC18D1D8D: [4049.35€ ]"</f>
        <v>ZBC18D1D8D: [4049.35€ ]</v>
      </c>
      <c r="Q121" t="str">
        <f>""</f>
        <v/>
      </c>
      <c r="R121" t="str">
        <f>""</f>
        <v/>
      </c>
      <c r="S121" t="str">
        <f>""</f>
        <v/>
      </c>
      <c r="T121" t="str">
        <f>"https://portaletrasparenza.consorziobacchiglione.it/dettagli/attodigara/197/manutenzione-e-riparazione-mezzo-con-targa-agz838.html"</f>
        <v>https://portaletrasparenza.consorziobacchiglione.it/dettagli/attodigara/197/manutenzione-e-riparazione-mezzo-con-targa-agz838.html</v>
      </c>
      <c r="U121" t="str">
        <f>""</f>
        <v/>
      </c>
      <c r="V1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2" spans="1:22" x14ac:dyDescent="0.3">
      <c r="A122" t="str">
        <f>"Affidamento"</f>
        <v>Affidamento</v>
      </c>
      <c r="B122" t="str">
        <f>"Fornitura materiale elettrico per Idrovora Treponti."</f>
        <v>Fornitura materiale elettrico per Idrovora Treponti.</v>
      </c>
      <c r="C122" t="str">
        <f>"Z6018D1B4E"</f>
        <v>Z6018D1B4E</v>
      </c>
      <c r="D122" t="str">
        <f>"04/11/2021"</f>
        <v>04/11/2021</v>
      </c>
      <c r="E122" t="str">
        <f>""</f>
        <v/>
      </c>
      <c r="F122" t="str">
        <f>""</f>
        <v/>
      </c>
      <c r="G122" t="str">
        <f>"503.15"</f>
        <v>503.15</v>
      </c>
      <c r="H122" t="str">
        <f>"Consorzio di bonifica Bacchiglione"</f>
        <v>Consorzio di bonifica Bacchiglione</v>
      </c>
      <c r="I122" t="str">
        <f>"92223390284"</f>
        <v>92223390284</v>
      </c>
      <c r="J122" t="str">
        <f>"23-AFFIDAMENTO DIRETTO"</f>
        <v>23-AFFIDAMENTO DIRETTO</v>
      </c>
      <c r="K122" t="str">
        <f>"03/03/2021"</f>
        <v>03/03/2021</v>
      </c>
      <c r="L122" t="str">
        <f>"26/05/2021"</f>
        <v>26/05/2021</v>
      </c>
      <c r="M122" t="str">
        <f>""</f>
        <v/>
      </c>
      <c r="N122" t="str">
        <f>"Elettroveneta S.p.A. Viale della Navigazione Interna, 48 - 35129 Padova (PD)"</f>
        <v>Elettroveneta S.p.A. Viale della Navigazione Interna, 48 - 35129 Padova (PD)</v>
      </c>
      <c r="O122" t="str">
        <f>"Elettroveneta S.p.A. Viale della Navigazione Interna, 48 - 35129 Padova (PD)"</f>
        <v>Elettroveneta S.p.A. Viale della Navigazione Interna, 48 - 35129 Padova (PD)</v>
      </c>
      <c r="P122" t="str">
        <f>"Z6018D1B4E: [503.15€ ]"</f>
        <v>Z6018D1B4E: [503.15€ ]</v>
      </c>
      <c r="Q122" t="str">
        <f>""</f>
        <v/>
      </c>
      <c r="R122" t="str">
        <f>""</f>
        <v/>
      </c>
      <c r="S122" t="str">
        <f>""</f>
        <v/>
      </c>
      <c r="T122" t="str">
        <f>"https://portaletrasparenza.consorziobacchiglione.it/dettagli/attodigara/196/fornitura-materiale-elettrico-per-idrovora-treponti.html"</f>
        <v>https://portaletrasparenza.consorziobacchiglione.it/dettagli/attodigara/196/fornitura-materiale-elettrico-per-idrovora-treponti.html</v>
      </c>
      <c r="U122" t="str">
        <f>""</f>
        <v/>
      </c>
      <c r="V1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3" spans="1:22" x14ac:dyDescent="0.3">
      <c r="A123" t="str">
        <f>"Affidamento"</f>
        <v>Affidamento</v>
      </c>
      <c r="B123" t="str">
        <f>"Controllo annuale gru con rilascio scheda del mezzo con targa: CB934XY."</f>
        <v>Controllo annuale gru con rilascio scheda del mezzo con targa: CB934XY.</v>
      </c>
      <c r="C123" t="str">
        <f>"Z1418D1973"</f>
        <v>Z1418D1973</v>
      </c>
      <c r="D123" t="str">
        <f>"04/11/2021"</f>
        <v>04/11/2021</v>
      </c>
      <c r="E123" t="str">
        <f>""</f>
        <v/>
      </c>
      <c r="F123" t="str">
        <f>""</f>
        <v/>
      </c>
      <c r="G123" t="str">
        <f>"495.00"</f>
        <v>495.00</v>
      </c>
      <c r="H123" t="str">
        <f>"Consorzio di bonifica Bacchiglione"</f>
        <v>Consorzio di bonifica Bacchiglione</v>
      </c>
      <c r="I123" t="str">
        <f>"92223390284"</f>
        <v>92223390284</v>
      </c>
      <c r="J123" t="str">
        <f>"23-AFFIDAMENTO DIRETTO"</f>
        <v>23-AFFIDAMENTO DIRETTO</v>
      </c>
      <c r="K123" t="str">
        <f>"03/03/2021"</f>
        <v>03/03/2021</v>
      </c>
      <c r="L123" t="str">
        <f>"14/04/2021"</f>
        <v>14/04/2021</v>
      </c>
      <c r="M123" t="str">
        <f>""</f>
        <v/>
      </c>
      <c r="N123" t="str">
        <f>"Moressa s.r.l. Via Cuccara 2 35020 Due Carrare PD"</f>
        <v>Moressa s.r.l. Via Cuccara 2 35020 Due Carrare PD</v>
      </c>
      <c r="O123" t="str">
        <f>"Moressa s.r.l. Via Cuccara 2 35020 Due Carrare PD"</f>
        <v>Moressa s.r.l. Via Cuccara 2 35020 Due Carrare PD</v>
      </c>
      <c r="P123" t="str">
        <f>"Z1418D1973: [495.00€ ]"</f>
        <v>Z1418D1973: [495.00€ ]</v>
      </c>
      <c r="Q123" t="str">
        <f>""</f>
        <v/>
      </c>
      <c r="R123" t="str">
        <f>""</f>
        <v/>
      </c>
      <c r="S123" t="str">
        <f>""</f>
        <v/>
      </c>
      <c r="T123" t="str">
        <f>"https://portaletrasparenza.consorziobacchiglione.it/dettagli/attodigara/195/controllo-annuale-gru-con-rilascio-scheda-del-mezzo-con-targa-cb934xy.html"</f>
        <v>https://portaletrasparenza.consorziobacchiglione.it/dettagli/attodigara/195/controllo-annuale-gru-con-rilascio-scheda-del-mezzo-con-targa-cb934xy.html</v>
      </c>
      <c r="U123" t="str">
        <f>""</f>
        <v/>
      </c>
      <c r="V1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4" spans="1:22" x14ac:dyDescent="0.3">
      <c r="A124" t="str">
        <f>"Affidamento"</f>
        <v>Affidamento</v>
      </c>
      <c r="B124" t="str">
        <f>"Noleggio camion con cesta per lavori vari su Idrovora S.Margherita, Bovolenta, Noventana , Cambroso."</f>
        <v>Noleggio camion con cesta per lavori vari su Idrovora S.Margherita, Bovolenta, Noventana , Cambroso.</v>
      </c>
      <c r="C124" t="str">
        <f>"Z3518D188A"</f>
        <v>Z3518D188A</v>
      </c>
      <c r="D124" t="str">
        <f>"04/11/2021"</f>
        <v>04/11/2021</v>
      </c>
      <c r="E124" t="str">
        <f>""</f>
        <v/>
      </c>
      <c r="F124" t="str">
        <f>""</f>
        <v/>
      </c>
      <c r="G124" t="str">
        <f>"2550.00"</f>
        <v>2550.00</v>
      </c>
      <c r="H124" t="str">
        <f>"Consorzio di bonifica Bacchiglione"</f>
        <v>Consorzio di bonifica Bacchiglione</v>
      </c>
      <c r="I124" t="str">
        <f>"92223390284"</f>
        <v>92223390284</v>
      </c>
      <c r="J124" t="str">
        <f>"23-AFFIDAMENTO DIRETTO"</f>
        <v>23-AFFIDAMENTO DIRETTO</v>
      </c>
      <c r="K124" t="str">
        <f>"03/03/2021"</f>
        <v>03/03/2021</v>
      </c>
      <c r="L124" t="str">
        <f>"29/03/2021"</f>
        <v>29/03/2021</v>
      </c>
      <c r="M124" t="str">
        <f>""</f>
        <v/>
      </c>
      <c r="N124" t="str">
        <f>"Nolo Piovese s.r.l. Via Padana 34 35020 S. Angelo di Piove PD"</f>
        <v>Nolo Piovese s.r.l. Via Padana 34 35020 S. Angelo di Piove PD</v>
      </c>
      <c r="O124" t="str">
        <f>"Nolo Piovese s.r.l. Via Padana 34 35020 S. Angelo di Piove PD"</f>
        <v>Nolo Piovese s.r.l. Via Padana 34 35020 S. Angelo di Piove PD</v>
      </c>
      <c r="P124" t="str">
        <f>"Z3518D188A: [2550.00€ ]"</f>
        <v>Z3518D188A: [2550.00€ ]</v>
      </c>
      <c r="Q124" t="str">
        <f>""</f>
        <v/>
      </c>
      <c r="R124" t="str">
        <f>""</f>
        <v/>
      </c>
      <c r="S124" t="str">
        <f>""</f>
        <v/>
      </c>
      <c r="T124" t="str">
        <f>"https://portaletrasparenza.consorziobacchiglione.it/dettagli/attodigara/194/noleggio-camion-con-cesta-per-lavori-vari-su-idrovora-s-margherita-bovolenta-noventana-cambroso.html"</f>
        <v>https://portaletrasparenza.consorziobacchiglione.it/dettagli/attodigara/194/noleggio-camion-con-cesta-per-lavori-vari-su-idrovora-s-margherita-bovolenta-noventana-cambroso.html</v>
      </c>
      <c r="U124" t="str">
        <f>""</f>
        <v/>
      </c>
      <c r="V1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5" spans="1:22" x14ac:dyDescent="0.3">
      <c r="A125" t="str">
        <f>"Affidamento"</f>
        <v>Affidamento</v>
      </c>
      <c r="B125" t="str">
        <f>"Riparazione pannello Emiltouch del distributore mobile n 5 e n 8 del C.O.S.Margherita."</f>
        <v>Riparazione pannello Emiltouch del distributore mobile n 5 e n 8 del C.O.S.Margherita.</v>
      </c>
      <c r="C125" t="str">
        <f>"Z4E18D1579"</f>
        <v>Z4E18D1579</v>
      </c>
      <c r="D125" t="str">
        <f>"04/11/2021"</f>
        <v>04/11/2021</v>
      </c>
      <c r="E125" t="str">
        <f>""</f>
        <v/>
      </c>
      <c r="F125" t="str">
        <f>""</f>
        <v/>
      </c>
      <c r="G125" t="str">
        <f>"1000.00"</f>
        <v>1000.00</v>
      </c>
      <c r="H125" t="str">
        <f>"Consorzio di bonifica Bacchiglione"</f>
        <v>Consorzio di bonifica Bacchiglione</v>
      </c>
      <c r="I125" t="str">
        <f>"92223390284"</f>
        <v>92223390284</v>
      </c>
      <c r="J125" t="str">
        <f>"23-AFFIDAMENTO DIRETTO"</f>
        <v>23-AFFIDAMENTO DIRETTO</v>
      </c>
      <c r="K125" t="str">
        <f>"03/03/2021"</f>
        <v>03/03/2021</v>
      </c>
      <c r="L125" t="str">
        <f>"14/04/2021"</f>
        <v>14/04/2021</v>
      </c>
      <c r="M125" t="str">
        <f>""</f>
        <v/>
      </c>
      <c r="N125" t="str">
        <f>"Emiliana Serbatoi Via Largo Maestri del Lavoro 40 41011 Campogalliano MO"</f>
        <v>Emiliana Serbatoi Via Largo Maestri del Lavoro 40 41011 Campogalliano MO</v>
      </c>
      <c r="O125" t="str">
        <f>"Emiliana Serbatoi Via Largo Maestri del Lavoro 40 41011 Campogalliano MO"</f>
        <v>Emiliana Serbatoi Via Largo Maestri del Lavoro 40 41011 Campogalliano MO</v>
      </c>
      <c r="P125" t="str">
        <f>"Z4E18D1579: [1000.00€ ]"</f>
        <v>Z4E18D1579: [1000.00€ ]</v>
      </c>
      <c r="Q125" t="str">
        <f>""</f>
        <v/>
      </c>
      <c r="R125" t="str">
        <f>""</f>
        <v/>
      </c>
      <c r="S125" t="str">
        <f>""</f>
        <v/>
      </c>
      <c r="T125" t="str">
        <f>"https://portaletrasparenza.consorziobacchiglione.it/dettagli/attodigara/193/riparazione-pannello-emiltouch-del-distributore-mobile-n-5-e-n-8-del-c-o-s-margherita.html"</f>
        <v>https://portaletrasparenza.consorziobacchiglione.it/dettagli/attodigara/193/riparazione-pannello-emiltouch-del-distributore-mobile-n-5-e-n-8-del-c-o-s-margherita.html</v>
      </c>
      <c r="U125" t="str">
        <f>""</f>
        <v/>
      </c>
      <c r="V1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6" spans="1:22" x14ac:dyDescent="0.3">
      <c r="A126" t="str">
        <f>"Affidamento"</f>
        <v>Affidamento</v>
      </c>
      <c r="B126" t="str">
        <f>"Riparazione e manutenzione mezzi con targa: EP107XC, DA564ZE."</f>
        <v>Riparazione e manutenzione mezzi con targa: EP107XC, DA564ZE.</v>
      </c>
      <c r="C126" t="str">
        <f>"Z8319AFE1D"</f>
        <v>Z8319AFE1D</v>
      </c>
      <c r="D126" t="str">
        <f>"04/11/2021"</f>
        <v>04/11/2021</v>
      </c>
      <c r="E126" t="str">
        <f>""</f>
        <v/>
      </c>
      <c r="F126" t="str">
        <f>""</f>
        <v/>
      </c>
      <c r="G126" t="str">
        <f>"729.88"</f>
        <v>729.88</v>
      </c>
      <c r="H126" t="str">
        <f>"Consorzio di bonifica Bacchiglione"</f>
        <v>Consorzio di bonifica Bacchiglione</v>
      </c>
      <c r="I126" t="str">
        <f>"92223390284"</f>
        <v>92223390284</v>
      </c>
      <c r="J126" t="str">
        <f>"23-AFFIDAMENTO DIRETTO"</f>
        <v>23-AFFIDAMENTO DIRETTO</v>
      </c>
      <c r="K126" t="str">
        <f>"03/05/2021"</f>
        <v>03/05/2021</v>
      </c>
      <c r="L126" t="str">
        <f>"15/06/2021"</f>
        <v>15/06/2021</v>
      </c>
      <c r="M126" t="str">
        <f>""</f>
        <v/>
      </c>
      <c r="N126" t="str">
        <f>"Mardegan F.lli s.n.c. Via Argine Destro 13A 35020 Brenta di Correzzola PD"</f>
        <v>Mardegan F.lli s.n.c. Via Argine Destro 13A 35020 Brenta di Correzzola PD</v>
      </c>
      <c r="O126" t="str">
        <f>"Mardegan F.lli s.n.c. Via Argine Destro 13A 35020 Brenta di Correzzola PD"</f>
        <v>Mardegan F.lli s.n.c. Via Argine Destro 13A 35020 Brenta di Correzzola PD</v>
      </c>
      <c r="P126" t="str">
        <f>"Z8319AFE1D: [729.88€ ]"</f>
        <v>Z8319AFE1D: [729.88€ ]</v>
      </c>
      <c r="Q126" t="str">
        <f>""</f>
        <v/>
      </c>
      <c r="R126" t="str">
        <f>""</f>
        <v/>
      </c>
      <c r="S126" t="str">
        <f>""</f>
        <v/>
      </c>
      <c r="T126" t="str">
        <f>"https://portaletrasparenza.consorziobacchiglione.it/dettagli/attodigara/385/riparazione-e-manutenzione-mezzi-con-targa-ep107xc-da564ze.html"</f>
        <v>https://portaletrasparenza.consorziobacchiglione.it/dettagli/attodigara/385/riparazione-e-manutenzione-mezzi-con-targa-ep107xc-da564ze.html</v>
      </c>
      <c r="U126" t="str">
        <f>""</f>
        <v/>
      </c>
      <c r="V1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7" spans="1:22" x14ac:dyDescent="0.3">
      <c r="A127" t="str">
        <f>"Affidamento"</f>
        <v>Affidamento</v>
      </c>
      <c r="B127" t="str">
        <f>"Lavoro di sostituzione inverter pompa N 3 dell' Idrovora Madonnetta."</f>
        <v>Lavoro di sostituzione inverter pompa N 3 dell' Idrovora Madonnetta.</v>
      </c>
      <c r="C127" t="str">
        <f>"Z8519AF9C0"</f>
        <v>Z8519AF9C0</v>
      </c>
      <c r="D127" t="str">
        <f>"04/11/2021"</f>
        <v>04/11/2021</v>
      </c>
      <c r="E127" t="str">
        <f>""</f>
        <v/>
      </c>
      <c r="F127" t="str">
        <f>""</f>
        <v/>
      </c>
      <c r="G127" t="str">
        <f>"1806.79"</f>
        <v>1806.79</v>
      </c>
      <c r="H127" t="str">
        <f>"Consorzio di bonifica Bacchiglione"</f>
        <v>Consorzio di bonifica Bacchiglione</v>
      </c>
      <c r="I127" t="str">
        <f>"92223390284"</f>
        <v>92223390284</v>
      </c>
      <c r="J127" t="str">
        <f>"23-AFFIDAMENTO DIRETTO"</f>
        <v>23-AFFIDAMENTO DIRETTO</v>
      </c>
      <c r="K127" t="str">
        <f>"03/05/2021"</f>
        <v>03/05/2021</v>
      </c>
      <c r="L127" t="str">
        <f>"15/06/2021"</f>
        <v>15/06/2021</v>
      </c>
      <c r="M127" t="str">
        <f>""</f>
        <v/>
      </c>
      <c r="N127" t="str">
        <f>"A.S.P. Tecnologie srl Via Padre Nicolini 29 35013 Cittadella PD | GPG SRL Via Marco Polo 22 35020 Albignasego PD | Picello s.r.l. V.le del Progresso 14A 35026 Conselve PD"</f>
        <v>A.S.P. Tecnologie srl Via Padre Nicolini 29 35013 Cittadella PD | GPG SRL Via Marco Polo 22 35020 Albignasego PD | Picello s.r.l. V.le del Progresso 14A 35026 Conselve PD</v>
      </c>
      <c r="O127" t="str">
        <f>"Picello s.r.l. V.le del Progresso 14A 35026 Conselve PD"</f>
        <v>Picello s.r.l. V.le del Progresso 14A 35026 Conselve PD</v>
      </c>
      <c r="P127" t="str">
        <f>"Z8519AF9C0: [1806.79€ ]"</f>
        <v>Z8519AF9C0: [1806.79€ ]</v>
      </c>
      <c r="Q127" t="str">
        <f>""</f>
        <v/>
      </c>
      <c r="R127" t="str">
        <f>""</f>
        <v/>
      </c>
      <c r="S127" t="str">
        <f>""</f>
        <v/>
      </c>
      <c r="T127" t="str">
        <f>"https://portaletrasparenza.consorziobacchiglione.it/dettagli/attodigara/382/lavoro-di-sostituzione-inverter-pompa-n-3-dell-idrovora-madonnetta.html"</f>
        <v>https://portaletrasparenza.consorziobacchiglione.it/dettagli/attodigara/382/lavoro-di-sostituzione-inverter-pompa-n-3-dell-idrovora-madonnetta.html</v>
      </c>
      <c r="U127" t="str">
        <f>""</f>
        <v/>
      </c>
      <c r="V12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8" spans="1:22" x14ac:dyDescent="0.3">
      <c r="A128" t="str">
        <f>"Affidamento"</f>
        <v>Affidamento</v>
      </c>
      <c r="B128" t="str">
        <f>"Lavoro di sostituzione trasformatori e dispositivi di sicurezza ed ausiliari presso Idrovora Lova."</f>
        <v>Lavoro di sostituzione trasformatori e dispositivi di sicurezza ed ausiliari presso Idrovora Lova.</v>
      </c>
      <c r="C128" t="str">
        <f>"Z1619AF844"</f>
        <v>Z1619AF844</v>
      </c>
      <c r="D128" t="str">
        <f>"04/11/2021"</f>
        <v>04/11/2021</v>
      </c>
      <c r="E128" t="str">
        <f>""</f>
        <v/>
      </c>
      <c r="F128" t="str">
        <f>""</f>
        <v/>
      </c>
      <c r="G128" t="str">
        <f>"3392.00"</f>
        <v>3392.00</v>
      </c>
      <c r="H128" t="str">
        <f>"Consorzio di bonifica Bacchiglione"</f>
        <v>Consorzio di bonifica Bacchiglione</v>
      </c>
      <c r="I128" t="str">
        <f>"92223390284"</f>
        <v>92223390284</v>
      </c>
      <c r="J128" t="str">
        <f>"23-AFFIDAMENTO DIRETTO"</f>
        <v>23-AFFIDAMENTO DIRETTO</v>
      </c>
      <c r="K128" t="str">
        <f>"03/05/2021"</f>
        <v>03/05/2021</v>
      </c>
      <c r="L128" t="str">
        <f>"18/07/2021"</f>
        <v>18/07/2021</v>
      </c>
      <c r="M128" t="str">
        <f>""</f>
        <v/>
      </c>
      <c r="N128" t="str">
        <f>"A.S.P. Tecnologie srl Via Padre Nicolini 29 35013 Cittadella PD | GPG SRL Via Marco Polo 22 35020 Albignasego PD | Picello s.r.l. V.le del Progresso 14A 35026 Conselve PD"</f>
        <v>A.S.P. Tecnologie srl Via Padre Nicolini 29 35013 Cittadella PD | GPG SRL Via Marco Polo 22 35020 Albignasego PD | Picello s.r.l. V.le del Progresso 14A 35026 Conselve PD</v>
      </c>
      <c r="O128" t="str">
        <f>"Picello s.r.l. V.le del Progresso 14A 35026 Conselve PD"</f>
        <v>Picello s.r.l. V.le del Progresso 14A 35026 Conselve PD</v>
      </c>
      <c r="P128" t="str">
        <f>"Z1619AF844: [3392.00€ ]"</f>
        <v>Z1619AF844: [3392.00€ ]</v>
      </c>
      <c r="Q128" t="str">
        <f>""</f>
        <v/>
      </c>
      <c r="R128" t="str">
        <f>""</f>
        <v/>
      </c>
      <c r="S128" t="str">
        <f>""</f>
        <v/>
      </c>
      <c r="T128" t="str">
        <f>"https://portaletrasparenza.consorziobacchiglione.it/dettagli/attodigara/381/lavoro-di-sostituzione-trasformatori-e-dispositivi-di-sicurezza-ed-ausiliari-presso-idrovora-lova.html"</f>
        <v>https://portaletrasparenza.consorziobacchiglione.it/dettagli/attodigara/381/lavoro-di-sostituzione-trasformatori-e-dispositivi-di-sicurezza-ed-ausiliari-presso-idrovora-lova.html</v>
      </c>
      <c r="U128" t="str">
        <f>""</f>
        <v/>
      </c>
      <c r="V1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9" spans="1:22" x14ac:dyDescent="0.3">
      <c r="A129" t="str">
        <f>"Affidamento"</f>
        <v>Affidamento</v>
      </c>
      <c r="B129" t="str">
        <f>"Fornitura e posa nuova pompa sommergibile su Idrovora Tabacchin, con quadro elettrico, cavi, impianto di terra, manufatto di alloggiamento gruppo misure enel e opere civili."</f>
        <v>Fornitura e posa nuova pompa sommergibile su Idrovora Tabacchin, con quadro elettrico, cavi, impianto di terra, manufatto di alloggiamento gruppo misure enel e opere civili.</v>
      </c>
      <c r="C129" t="str">
        <f>"ZB719AF594"</f>
        <v>ZB719AF594</v>
      </c>
      <c r="D129" t="str">
        <f>"04/11/2021"</f>
        <v>04/11/2021</v>
      </c>
      <c r="E129" t="str">
        <f>""</f>
        <v/>
      </c>
      <c r="F129" t="str">
        <f>""</f>
        <v/>
      </c>
      <c r="G129" t="str">
        <f>"31780.00"</f>
        <v>31780.00</v>
      </c>
      <c r="H129" t="str">
        <f>"Consorzio di bonifica Bacchiglione"</f>
        <v>Consorzio di bonifica Bacchiglione</v>
      </c>
      <c r="I129" t="str">
        <f>"92223390284"</f>
        <v>92223390284</v>
      </c>
      <c r="J129" t="str">
        <f>"23-AFFIDAMENTO DIRETTO"</f>
        <v>23-AFFIDAMENTO DIRETTO</v>
      </c>
      <c r="K129" t="str">
        <f>"03/05/2021"</f>
        <v>03/05/2021</v>
      </c>
      <c r="L129" t="str">
        <f>"27/10/2021"</f>
        <v>27/10/2021</v>
      </c>
      <c r="M129" t="str">
        <f>""</f>
        <v/>
      </c>
      <c r="N129" t="str">
        <f>"A.S.P. Tecnologie srl Via Padre Nicolini 29 35013 Cittadella PD | GPG SRL Via Marco Polo 22 35020 Albignasego PD | Picello s.r.l. V.le del Progresso 14A 35026 Conselve PD"</f>
        <v>A.S.P. Tecnologie srl Via Padre Nicolini 29 35013 Cittadella PD | GPG SRL Via Marco Polo 22 35020 Albignasego PD | Picello s.r.l. V.le del Progresso 14A 35026 Conselve PD</v>
      </c>
      <c r="O129" t="str">
        <f>"A.S.P. Tecnologie srl Via Padre Nicolini 29 35013 Cittadella PD"</f>
        <v>A.S.P. Tecnologie srl Via Padre Nicolini 29 35013 Cittadella PD</v>
      </c>
      <c r="P129" t="str">
        <f>"ZB719AF594: [31780.00€ ]"</f>
        <v>ZB719AF594: [31780.00€ ]</v>
      </c>
      <c r="Q129" t="str">
        <f>""</f>
        <v/>
      </c>
      <c r="R129" t="str">
        <f>""</f>
        <v/>
      </c>
      <c r="S129" t="str">
        <f>""</f>
        <v/>
      </c>
      <c r="T129" t="str">
        <f>"https://portaletrasparenza.consorziobacchiglione.it/dettagli/attodigara/380/fornitura-e-posa-nuova-pompa-sommergibile-su-idrovora-tabacchin-con-quadro-elettrico-cavi-impianto-di-terra-manufatto-di-alloggiamento-gruppo-misure-enel-e-opere-civili.html"</f>
        <v>https://portaletrasparenza.consorziobacchiglione.it/dettagli/attodigara/380/fornitura-e-posa-nuova-pompa-sommergibile-su-idrovora-tabacchin-con-quadro-elettrico-cavi-impianto-di-terra-manufatto-di-alloggiamento-gruppo-misure-enel-e-opere-civili.html</v>
      </c>
      <c r="U129" t="str">
        <f>""</f>
        <v/>
      </c>
      <c r="V1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0" spans="1:22" x14ac:dyDescent="0.3">
      <c r="A130" t="str">
        <f>"Affidamento"</f>
        <v>Affidamento</v>
      </c>
      <c r="B130" t="str">
        <f>"Lavoro di sostituzione inverter pompa N 2 dell' Idrovora Cambroso."</f>
        <v>Lavoro di sostituzione inverter pompa N 2 dell' Idrovora Cambroso.</v>
      </c>
      <c r="C130" t="str">
        <f>"Z8119AFB9D"</f>
        <v>Z8119AFB9D</v>
      </c>
      <c r="D130" t="str">
        <f>"04/11/2021"</f>
        <v>04/11/2021</v>
      </c>
      <c r="E130" t="str">
        <f>""</f>
        <v/>
      </c>
      <c r="F130" t="str">
        <f>""</f>
        <v/>
      </c>
      <c r="G130" t="str">
        <f>"4316.88"</f>
        <v>4316.88</v>
      </c>
      <c r="H130" t="str">
        <f>"Consorzio di bonifica Bacchiglione"</f>
        <v>Consorzio di bonifica Bacchiglione</v>
      </c>
      <c r="I130" t="str">
        <f>"92223390284"</f>
        <v>92223390284</v>
      </c>
      <c r="J130" t="str">
        <f>"23-AFFIDAMENTO DIRETTO"</f>
        <v>23-AFFIDAMENTO DIRETTO</v>
      </c>
      <c r="K130" t="str">
        <f>"03/05/2021"</f>
        <v>03/05/2021</v>
      </c>
      <c r="L130" t="str">
        <f>"26/08/2021"</f>
        <v>26/08/2021</v>
      </c>
      <c r="M130" t="str">
        <f>""</f>
        <v/>
      </c>
      <c r="N130" t="str">
        <f>"A.S.P. Tecnologie srl Via Padre Nicolini 29 35013 Cittadella PD | M.T.Elettric SNC Via Malipiera 48B 45014 Porto Viro RO | Picello s.r.l. V.le del Progresso 14A 35026 Conselve PD"</f>
        <v>A.S.P. Tecnologie srl Via Padre Nicolini 29 35013 Cittadella PD | M.T.Elettric SNC Via Malipiera 48B 45014 Porto Viro RO | Picello s.r.l. V.le del Progresso 14A 35026 Conselve PD</v>
      </c>
      <c r="O130" t="str">
        <f>"Picello s.r.l. V.le del Progresso 14A 35026 Conselve PD"</f>
        <v>Picello s.r.l. V.le del Progresso 14A 35026 Conselve PD</v>
      </c>
      <c r="P130" t="str">
        <f>"Z8119AFB9D: [4316.87€ ]"</f>
        <v>Z8119AFB9D: [4316.87€ ]</v>
      </c>
      <c r="Q130" t="str">
        <f>""</f>
        <v/>
      </c>
      <c r="R130" t="str">
        <f>""</f>
        <v/>
      </c>
      <c r="S130" t="str">
        <f>""</f>
        <v/>
      </c>
      <c r="T130" t="str">
        <f>"https://portaletrasparenza.consorziobacchiglione.it/dettagli/attodigara/384/lavoro-di-sostituzione-inverter-pompa-n-2-dell-idrovora-cambroso.html"</f>
        <v>https://portaletrasparenza.consorziobacchiglione.it/dettagli/attodigara/384/lavoro-di-sostituzione-inverter-pompa-n-2-dell-idrovora-cambroso.html</v>
      </c>
      <c r="U130" t="str">
        <f>""</f>
        <v/>
      </c>
      <c r="V130">
        <f>(SUBSTITUTE(Tabella1[[#This Row],[Importo di aggiudicazione]],".",","))-(SUBSTITUTE(  SUBSTITUTE(          SUBSTITUTE(Tabella1[[#This Row],[Dettaglio somme liquidate]],Tabella1[[#This Row],[CIG]]&amp;": [",""),"€ ]",""),".",","))</f>
        <v>1.0000000000218279E-2</v>
      </c>
    </row>
    <row r="131" spans="1:22" x14ac:dyDescent="0.3">
      <c r="A131" t="str">
        <f>"Affidamento"</f>
        <v>Affidamento</v>
      </c>
      <c r="B131" t="str">
        <f>"Lavoro di sostituzione inverter pompa N 1 dell' Idrovora Cambroso."</f>
        <v>Lavoro di sostituzione inverter pompa N 1 dell' Idrovora Cambroso.</v>
      </c>
      <c r="C131" t="str">
        <f>"Z9819AFAF3"</f>
        <v>Z9819AFAF3</v>
      </c>
      <c r="D131" t="str">
        <f>"04/11/2021"</f>
        <v>04/11/2021</v>
      </c>
      <c r="E131" t="str">
        <f>""</f>
        <v/>
      </c>
      <c r="F131" t="str">
        <f>""</f>
        <v/>
      </c>
      <c r="G131" t="str">
        <f>"4316.88"</f>
        <v>4316.88</v>
      </c>
      <c r="H131" t="str">
        <f>"Consorzio di bonifica Bacchiglione"</f>
        <v>Consorzio di bonifica Bacchiglione</v>
      </c>
      <c r="I131" t="str">
        <f>"92223390284"</f>
        <v>92223390284</v>
      </c>
      <c r="J131" t="str">
        <f>"23-AFFIDAMENTO DIRETTO"</f>
        <v>23-AFFIDAMENTO DIRETTO</v>
      </c>
      <c r="K131" t="str">
        <f>"03/05/2021"</f>
        <v>03/05/2021</v>
      </c>
      <c r="L131" t="str">
        <f>"26/08/2021"</f>
        <v>26/08/2021</v>
      </c>
      <c r="M131" t="str">
        <f>""</f>
        <v/>
      </c>
      <c r="N131" t="str">
        <f>"A.S.P. Tecnologie srl Via Padre Nicolini 29 35013 Cittadella PD | M.T.Elettric SNC Via Malipiera 48B 45014 Porto Viro RO | Picello s.r.l. V.le del Progresso 14A 35026 Conselve PD"</f>
        <v>A.S.P. Tecnologie srl Via Padre Nicolini 29 35013 Cittadella PD | M.T.Elettric SNC Via Malipiera 48B 45014 Porto Viro RO | Picello s.r.l. V.le del Progresso 14A 35026 Conselve PD</v>
      </c>
      <c r="O131" t="str">
        <f>"Picello s.r.l. V.le del Progresso 14A 35026 Conselve PD"</f>
        <v>Picello s.r.l. V.le del Progresso 14A 35026 Conselve PD</v>
      </c>
      <c r="P131" t="str">
        <f>"Z9819AFAF3: [4316.87€ ]"</f>
        <v>Z9819AFAF3: [4316.87€ ]</v>
      </c>
      <c r="Q131" t="str">
        <f>""</f>
        <v/>
      </c>
      <c r="R131" t="str">
        <f>""</f>
        <v/>
      </c>
      <c r="S131" t="str">
        <f>""</f>
        <v/>
      </c>
      <c r="T131" t="str">
        <f>"https://portaletrasparenza.consorziobacchiglione.it/dettagli/attodigara/383/lavoro-di-sostituzione-inverter-pompa-n-1-dell-idrovora-cambroso.html"</f>
        <v>https://portaletrasparenza.consorziobacchiglione.it/dettagli/attodigara/383/lavoro-di-sostituzione-inverter-pompa-n-1-dell-idrovora-cambroso.html</v>
      </c>
      <c r="U131" t="str">
        <f>""</f>
        <v/>
      </c>
      <c r="V131">
        <f>(SUBSTITUTE(Tabella1[[#This Row],[Importo di aggiudicazione]],".",","))-(SUBSTITUTE(  SUBSTITUTE(          SUBSTITUTE(Tabella1[[#This Row],[Dettaglio somme liquidate]],Tabella1[[#This Row],[CIG]]&amp;": [",""),"€ ]",""),".",","))</f>
        <v>1.0000000000218279E-2</v>
      </c>
    </row>
    <row r="132" spans="1:22" x14ac:dyDescent="0.3">
      <c r="A132" t="str">
        <f>"Affidamento"</f>
        <v>Affidamento</v>
      </c>
      <c r="B132" t="str">
        <f>"Pulizia vasca biologica sede Consorziale."</f>
        <v>Pulizia vasca biologica sede Consorziale.</v>
      </c>
      <c r="C132" t="str">
        <f>"Z6719B005F"</f>
        <v>Z6719B005F</v>
      </c>
      <c r="D132" t="str">
        <f>"04/11/2021"</f>
        <v>04/11/2021</v>
      </c>
      <c r="E132" t="str">
        <f>""</f>
        <v/>
      </c>
      <c r="F132" t="str">
        <f>""</f>
        <v/>
      </c>
      <c r="G132" t="str">
        <f>"200.00"</f>
        <v>200.00</v>
      </c>
      <c r="H132" t="str">
        <f>"Consorzio di bonifica Bacchiglione"</f>
        <v>Consorzio di bonifica Bacchiglione</v>
      </c>
      <c r="I132" t="str">
        <f>"92223390284"</f>
        <v>92223390284</v>
      </c>
      <c r="J132" t="str">
        <f>"23-AFFIDAMENTO DIRETTO"</f>
        <v>23-AFFIDAMENTO DIRETTO</v>
      </c>
      <c r="K132" t="str">
        <f>"03/05/2021"</f>
        <v>03/05/2021</v>
      </c>
      <c r="L132" t="str">
        <f>"15/12/2021"</f>
        <v>15/12/2021</v>
      </c>
      <c r="M132" t="str">
        <f>""</f>
        <v/>
      </c>
      <c r="N132" t="str">
        <f>"Mietto Gaetano Espurghi s.r.l. Via Vigonovese 88 35020 Saonara PD"</f>
        <v>Mietto Gaetano Espurghi s.r.l. Via Vigonovese 88 35020 Saonara PD</v>
      </c>
      <c r="O132" t="str">
        <f>"Mietto Gaetano Espurghi s.r.l. Via Vigonovese 88 35020 Saonara PD"</f>
        <v>Mietto Gaetano Espurghi s.r.l. Via Vigonovese 88 35020 Saonara PD</v>
      </c>
      <c r="P132" t="str">
        <f>"Z6719B005F: [180.33€ ]"</f>
        <v>Z6719B005F: [180.33€ ]</v>
      </c>
      <c r="Q132" t="str">
        <f>""</f>
        <v/>
      </c>
      <c r="R132" t="str">
        <f>""</f>
        <v/>
      </c>
      <c r="S132" t="str">
        <f>""</f>
        <v/>
      </c>
      <c r="T132" t="str">
        <f>"https://portaletrasparenza.consorziobacchiglione.it/dettagli/attodigara/386/pulizia-vasca-biologica-sede-consorziale.html"</f>
        <v>https://portaletrasparenza.consorziobacchiglione.it/dettagli/attodigara/386/pulizia-vasca-biologica-sede-consorziale.html</v>
      </c>
      <c r="U132" t="str">
        <f>""</f>
        <v/>
      </c>
      <c r="V132">
        <f>(SUBSTITUTE(Tabella1[[#This Row],[Importo di aggiudicazione]],".",","))-(SUBSTITUTE(  SUBSTITUTE(          SUBSTITUTE(Tabella1[[#This Row],[Dettaglio somme liquidate]],Tabella1[[#This Row],[CIG]]&amp;": [",""),"€ ]",""),".",","))</f>
        <v>19.669999999999987</v>
      </c>
    </row>
    <row r="133" spans="1:22" x14ac:dyDescent="0.3">
      <c r="A133" t="str">
        <f>"Affidamento"</f>
        <v>Affidamento</v>
      </c>
      <c r="B133" t="str">
        <f>"Lavaggio e ingrassaggio mezzi consorziali targati: AJR631, AJ205BM, CT189YR, AHH573"</f>
        <v>Lavaggio e ingrassaggio mezzi consorziali targati: AJR631, AJ205BM, CT189YR, AHH573</v>
      </c>
      <c r="C133" t="str">
        <f>"Z323195416"</f>
        <v>Z323195416</v>
      </c>
      <c r="D133" t="str">
        <f>"03/05/2021"</f>
        <v>03/05/2021</v>
      </c>
      <c r="E133" t="str">
        <f>""</f>
        <v/>
      </c>
      <c r="F133" t="str">
        <f>""</f>
        <v/>
      </c>
      <c r="G133" t="str">
        <f>"646.00"</f>
        <v>646.00</v>
      </c>
      <c r="H133" t="str">
        <f>"Consorzio di bonifica Bacchiglione"</f>
        <v>Consorzio di bonifica Bacchiglione</v>
      </c>
      <c r="I133" t="str">
        <f>"92223390284"</f>
        <v>92223390284</v>
      </c>
      <c r="J133" t="str">
        <f>"23-AFFIDAMENTO DIRETTO"</f>
        <v>23-AFFIDAMENTO DIRETTO</v>
      </c>
      <c r="K133" t="str">
        <f>"03/05/2021"</f>
        <v>03/05/2021</v>
      </c>
      <c r="L133" t="str">
        <f>"31/08/2021"</f>
        <v>31/08/2021</v>
      </c>
      <c r="M133" t="str">
        <f>""</f>
        <v/>
      </c>
      <c r="N133" t="str">
        <f>"Autofficina Agostini Roberto via S.Francesco 5 35020 Albignasego PD"</f>
        <v>Autofficina Agostini Roberto via S.Francesco 5 35020 Albignasego PD</v>
      </c>
      <c r="O133" t="str">
        <f>"Autofficina Agostini Roberto via S.Francesco 5 35020 Albignasego PD"</f>
        <v>Autofficina Agostini Roberto via S.Francesco 5 35020 Albignasego PD</v>
      </c>
      <c r="P133" t="str">
        <f>"Z323195416: [646.00€ ]"</f>
        <v>Z323195416: [646.00€ ]</v>
      </c>
      <c r="Q133" t="str">
        <f>""</f>
        <v/>
      </c>
      <c r="R133" t="str">
        <f>""</f>
        <v/>
      </c>
      <c r="S133" t="str">
        <f>""</f>
        <v/>
      </c>
      <c r="T133" t="str">
        <f>"https://portaletrasparenza.consorziobacchiglione.it/dettagli/attodigara/6851/lavaggio-e-ingrassaggio-mezzi-consorziali-targati-ajr631-aj205bm-ct189yr-ahh573.html"</f>
        <v>https://portaletrasparenza.consorziobacchiglione.it/dettagli/attodigara/6851/lavaggio-e-ingrassaggio-mezzi-consorziali-targati-ajr631-aj205bm-ct189yr-ahh573.html</v>
      </c>
      <c r="U133" t="str">
        <f>"https://portaletrasparenza.consorziobacchiglione.it/download/attodigara/6851/63ac45884c554.PDF"</f>
        <v>https://portaletrasparenza.consorziobacchiglione.it/download/attodigara/6851/63ac45884c554.PDF</v>
      </c>
      <c r="V1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4" spans="1:22" x14ac:dyDescent="0.3">
      <c r="A134" t="str">
        <f>"Affidamento"</f>
        <v>Affidamento</v>
      </c>
      <c r="B134" t="str">
        <f>"Fornitura materiale edile per chiavica Scirocchetto, scolo Cornera, Idrovora Lova, Scolo Valli."</f>
        <v>Fornitura materiale edile per chiavica Scirocchetto, scolo Cornera, Idrovora Lova, Scolo Valli.</v>
      </c>
      <c r="C134" t="str">
        <f>"ZA81A2A447"</f>
        <v>ZA81A2A447</v>
      </c>
      <c r="D134" t="str">
        <f>"04/11/2021"</f>
        <v>04/11/2021</v>
      </c>
      <c r="E134" t="str">
        <f>""</f>
        <v/>
      </c>
      <c r="F134" t="str">
        <f>""</f>
        <v/>
      </c>
      <c r="G134" t="str">
        <f>"217.36"</f>
        <v>217.36</v>
      </c>
      <c r="H134" t="str">
        <f>"Consorzio di bonifica Bacchiglione"</f>
        <v>Consorzio di bonifica Bacchiglione</v>
      </c>
      <c r="I134" t="str">
        <f>"92223390284"</f>
        <v>92223390284</v>
      </c>
      <c r="J134" t="str">
        <f>"23-AFFIDAMENTO DIRETTO"</f>
        <v>23-AFFIDAMENTO DIRETTO</v>
      </c>
      <c r="K134" t="str">
        <f>"03/06/2021"</f>
        <v>03/06/2021</v>
      </c>
      <c r="L134" t="str">
        <f>"18/07/2021"</f>
        <v>18/07/2021</v>
      </c>
      <c r="M134" t="str">
        <f>""</f>
        <v/>
      </c>
      <c r="N134" t="str">
        <f>"Idronord s.r.l. Via delle Industrie 3C 30036 Santa Maria Di Sala VE"</f>
        <v>Idronord s.r.l. Via delle Industrie 3C 30036 Santa Maria Di Sala VE</v>
      </c>
      <c r="O134" t="str">
        <f>"Idronord s.r.l. Via delle Industrie 3C 30036 Santa Maria Di Sala VE"</f>
        <v>Idronord s.r.l. Via delle Industrie 3C 30036 Santa Maria Di Sala VE</v>
      </c>
      <c r="P134" t="str">
        <f>"ZA81A2A447: [217.36€ ]"</f>
        <v>ZA81A2A447: [217.36€ ]</v>
      </c>
      <c r="Q134" t="str">
        <f>""</f>
        <v/>
      </c>
      <c r="R134" t="str">
        <f>""</f>
        <v/>
      </c>
      <c r="S134" t="str">
        <f>""</f>
        <v/>
      </c>
      <c r="T134" t="str">
        <f>"https://portaletrasparenza.consorziobacchiglione.it/dettagli/attodigara/497/fornitura-materiale-edile-per-chiavica-scirocchetto-scolo-cornera-idrovora-lova-scolo-valli.html"</f>
        <v>https://portaletrasparenza.consorziobacchiglione.it/dettagli/attodigara/497/fornitura-materiale-edile-per-chiavica-scirocchetto-scolo-cornera-idrovora-lova-scolo-valli.html</v>
      </c>
      <c r="U134" t="str">
        <f>""</f>
        <v/>
      </c>
      <c r="V1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5" spans="1:22" x14ac:dyDescent="0.3">
      <c r="A135" t="str">
        <f>"Affidamento"</f>
        <v>Affidamento</v>
      </c>
      <c r="B135" t="str">
        <f>"Riparazione e manutenzione mezzo con targa: DS718AA."</f>
        <v>Riparazione e manutenzione mezzo con targa: DS718AA.</v>
      </c>
      <c r="C135" t="str">
        <f>"ZC71A2A1D9"</f>
        <v>ZC71A2A1D9</v>
      </c>
      <c r="D135" t="str">
        <f>"04/11/2021"</f>
        <v>04/11/2021</v>
      </c>
      <c r="E135" t="str">
        <f>""</f>
        <v/>
      </c>
      <c r="F135" t="str">
        <f>""</f>
        <v/>
      </c>
      <c r="G135" t="str">
        <f>"1340.50"</f>
        <v>1340.50</v>
      </c>
      <c r="H135" t="str">
        <f>"Consorzio di bonifica Bacchiglione"</f>
        <v>Consorzio di bonifica Bacchiglione</v>
      </c>
      <c r="I135" t="str">
        <f>"92223390284"</f>
        <v>92223390284</v>
      </c>
      <c r="J135" t="str">
        <f>"23-AFFIDAMENTO DIRETTO"</f>
        <v>23-AFFIDAMENTO DIRETTO</v>
      </c>
      <c r="K135" t="str">
        <f>"03/06/2021"</f>
        <v>03/06/2021</v>
      </c>
      <c r="L135" t="str">
        <f>"11/07/2021"</f>
        <v>11/07/2021</v>
      </c>
      <c r="M135" t="str">
        <f>""</f>
        <v/>
      </c>
      <c r="N135" t="str">
        <f>"Mardegan F.lli s.n.c. Via Argine Destro 13A 35020 Brenta di Correzzola PD"</f>
        <v>Mardegan F.lli s.n.c. Via Argine Destro 13A 35020 Brenta di Correzzola PD</v>
      </c>
      <c r="O135" t="str">
        <f>"Mardegan F.lli s.n.c. Via Argine Destro 13A 35020 Brenta di Correzzola PD"</f>
        <v>Mardegan F.lli s.n.c. Via Argine Destro 13A 35020 Brenta di Correzzola PD</v>
      </c>
      <c r="P135" t="str">
        <f>"ZC71A2A1D9: [1340.50€ ]"</f>
        <v>ZC71A2A1D9: [1340.50€ ]</v>
      </c>
      <c r="Q135" t="str">
        <f>""</f>
        <v/>
      </c>
      <c r="R135" t="str">
        <f>""</f>
        <v/>
      </c>
      <c r="S135" t="str">
        <f>""</f>
        <v/>
      </c>
      <c r="T135" t="str">
        <f>"https://portaletrasparenza.consorziobacchiglione.it/dettagli/attodigara/496/riparazione-e-manutenzione-mezzo-con-targa-ds718aa.html"</f>
        <v>https://portaletrasparenza.consorziobacchiglione.it/dettagli/attodigara/496/riparazione-e-manutenzione-mezzo-con-targa-ds718aa.html</v>
      </c>
      <c r="U135" t="str">
        <f>""</f>
        <v/>
      </c>
      <c r="V1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6" spans="1:22" x14ac:dyDescent="0.3">
      <c r="A136" t="str">
        <f>"Affidamento"</f>
        <v>Affidamento</v>
      </c>
      <c r="B136" t="str">
        <f>"Fornitura terreno vegetale per scolo Altipiano."</f>
        <v>Fornitura terreno vegetale per scolo Altipiano.</v>
      </c>
      <c r="C136" t="str">
        <f>"Z071A2A115"</f>
        <v>Z071A2A115</v>
      </c>
      <c r="D136" t="str">
        <f>"04/11/2021"</f>
        <v>04/11/2021</v>
      </c>
      <c r="E136" t="str">
        <f>""</f>
        <v/>
      </c>
      <c r="F136" t="str">
        <f>""</f>
        <v/>
      </c>
      <c r="G136" t="str">
        <f>"288.00"</f>
        <v>288.00</v>
      </c>
      <c r="H136" t="str">
        <f>"Consorzio di bonifica Bacchiglione"</f>
        <v>Consorzio di bonifica Bacchiglione</v>
      </c>
      <c r="I136" t="str">
        <f>"92223390284"</f>
        <v>92223390284</v>
      </c>
      <c r="J136" t="str">
        <f>"23-AFFIDAMENTO DIRETTO"</f>
        <v>23-AFFIDAMENTO DIRETTO</v>
      </c>
      <c r="K136" t="str">
        <f>"03/06/2021"</f>
        <v>03/06/2021</v>
      </c>
      <c r="L136" t="str">
        <f>"01/08/2021"</f>
        <v>01/08/2021</v>
      </c>
      <c r="M136" t="str">
        <f>""</f>
        <v/>
      </c>
      <c r="N136" t="str">
        <f>"Trovò s.r.l. Via Idrovora, 3 - 35020 Codevigo (PD)"</f>
        <v>Trovò s.r.l. Via Idrovora, 3 - 35020 Codevigo (PD)</v>
      </c>
      <c r="O136" t="str">
        <f>"Trovò s.r.l. Via Idrovora, 3 - 35020 Codevigo (PD)"</f>
        <v>Trovò s.r.l. Via Idrovora, 3 - 35020 Codevigo (PD)</v>
      </c>
      <c r="P136" t="str">
        <f>"Z071A2A115: [288.00€ ]"</f>
        <v>Z071A2A115: [288.00€ ]</v>
      </c>
      <c r="Q136" t="str">
        <f>""</f>
        <v/>
      </c>
      <c r="R136" t="str">
        <f>""</f>
        <v/>
      </c>
      <c r="S136" t="str">
        <f>""</f>
        <v/>
      </c>
      <c r="T136" t="str">
        <f>"https://portaletrasparenza.consorziobacchiglione.it/dettagli/attodigara/495/fornitura-terreno-vegetale-per-scolo-altipiano.html"</f>
        <v>https://portaletrasparenza.consorziobacchiglione.it/dettagli/attodigara/495/fornitura-terreno-vegetale-per-scolo-altipiano.html</v>
      </c>
      <c r="U136" t="str">
        <f>""</f>
        <v/>
      </c>
      <c r="V1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7" spans="1:22" x14ac:dyDescent="0.3">
      <c r="A137" t="str">
        <f>"Affidamento"</f>
        <v>Affidamento</v>
      </c>
      <c r="B137" t="str">
        <f>"Diserbo degli scoli consorziali per l'anno 2016 - Bacino Sesta Presa - Sezione VII, Delta Brenta, Foci Brenta Adige (cottimo 09/2016)"</f>
        <v>Diserbo degli scoli consorziali per l'anno 2016 - Bacino Sesta Presa - Sezione VII, Delta Brenta, Foci Brenta Adige (cottimo 09/2016)</v>
      </c>
      <c r="C137" t="str">
        <f>"66500556FC"</f>
        <v>66500556FC</v>
      </c>
      <c r="D137" t="str">
        <f>"04/11/2021"</f>
        <v>04/11/2021</v>
      </c>
      <c r="E137" t="str">
        <f>""</f>
        <v/>
      </c>
      <c r="F137" t="str">
        <f>""</f>
        <v/>
      </c>
      <c r="G137" t="str">
        <f>"52237.63"</f>
        <v>52237.63</v>
      </c>
      <c r="H137" t="str">
        <f>"Consorzio di bonifica Bacchiglione"</f>
        <v>Consorzio di bonifica Bacchiglione</v>
      </c>
      <c r="I137" t="str">
        <f>"92223390284"</f>
        <v>92223390284</v>
      </c>
      <c r="J137" t="str">
        <f>"08-AFFIDAMENTO IN ECONOMIA - COTTIMO FIDUCIARIO"</f>
        <v>08-AFFIDAMENTO IN ECONOMIA - COTTIMO FIDUCIARIO</v>
      </c>
      <c r="K137" t="str">
        <f>"03/06/2021"</f>
        <v>03/06/2021</v>
      </c>
      <c r="L137" t="str">
        <f>"02/10/2021"</f>
        <v>02/10/2021</v>
      </c>
      <c r="M137" t="str">
        <f>""</f>
        <v/>
      </c>
      <c r="N137" t="str">
        <f>"Viel Giampaolo | New Viedil s.r.l. | Viale Valter | Sgobbi Guido Pietro | Fasolato Franco"</f>
        <v>Viel Giampaolo | New Viedil s.r.l. | Viale Valter | Sgobbi Guido Pietro | Fasolato Franco</v>
      </c>
      <c r="O137" t="str">
        <f>"Viale Valter"</f>
        <v>Viale Valter</v>
      </c>
      <c r="P137" t="str">
        <f>"66500556FC: [52237.63€ ]"</f>
        <v>66500556FC: [52237.63€ ]</v>
      </c>
      <c r="Q137" t="str">
        <f>""</f>
        <v/>
      </c>
      <c r="R137" t="str">
        <f>""</f>
        <v/>
      </c>
      <c r="S137" t="str">
        <f>""</f>
        <v/>
      </c>
      <c r="T137" t="str">
        <f>"https://portaletrasparenza.consorziobacchiglione.it/dettagli/attodigara/12/diserbo-degli-scoli-consorziali-per-l-anno-2016-bacino-sesta-presa-sezione-vii-delta-brenta-foci-brenta-adige-cottimo-09-2016.html"</f>
        <v>https://portaletrasparenza.consorziobacchiglione.it/dettagli/attodigara/12/diserbo-degli-scoli-consorziali-per-l-anno-2016-bacino-sesta-presa-sezione-vii-delta-brenta-foci-brenta-adige-cottimo-09-2016.html</v>
      </c>
      <c r="U137" t="str">
        <f>""</f>
        <v/>
      </c>
      <c r="V13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8" spans="1:22" x14ac:dyDescent="0.3">
      <c r="A138" t="str">
        <f>"Affidamento"</f>
        <v>Affidamento</v>
      </c>
      <c r="B138" t="str">
        <f>"Diserbo degli scoli consorziali per l'anno 2016 - Bacino Sesta Presa - Prima Sezione Sinistra Brenta (cottimo 07/2016)"</f>
        <v>Diserbo degli scoli consorziali per l'anno 2016 - Bacino Sesta Presa - Prima Sezione Sinistra Brenta (cottimo 07/2016)</v>
      </c>
      <c r="C138" t="str">
        <f>"6649960896"</f>
        <v>6649960896</v>
      </c>
      <c r="D138" t="str">
        <f>"04/11/2021"</f>
        <v>04/11/2021</v>
      </c>
      <c r="E138" t="str">
        <f>""</f>
        <v/>
      </c>
      <c r="F138" t="str">
        <f>""</f>
        <v/>
      </c>
      <c r="G138" t="str">
        <f>"60861.40"</f>
        <v>60861.40</v>
      </c>
      <c r="H138" t="str">
        <f>"Consorzio di bonifica Bacchiglione"</f>
        <v>Consorzio di bonifica Bacchiglione</v>
      </c>
      <c r="I138" t="str">
        <f>"92223390284"</f>
        <v>92223390284</v>
      </c>
      <c r="J138" t="str">
        <f>"08-AFFIDAMENTO IN ECONOMIA - COTTIMO FIDUCIARIO"</f>
        <v>08-AFFIDAMENTO IN ECONOMIA - COTTIMO FIDUCIARIO</v>
      </c>
      <c r="K138" t="str">
        <f>"03/06/2021"</f>
        <v>03/06/2021</v>
      </c>
      <c r="L138" t="str">
        <f>"02/10/2021"</f>
        <v>02/10/2021</v>
      </c>
      <c r="M138" t="str">
        <f>""</f>
        <v/>
      </c>
      <c r="N138" t="str">
        <f>"New Viedil s.r.l. | Viale Valter | Viale Nicola | Meneghin Stefano | VPS s.r.l."</f>
        <v>New Viedil s.r.l. | Viale Valter | Viale Nicola | Meneghin Stefano | VPS s.r.l.</v>
      </c>
      <c r="O138" t="str">
        <f>"Viale Valter"</f>
        <v>Viale Valter</v>
      </c>
      <c r="P138" t="str">
        <f>"6649960896: [58136.68€ ]"</f>
        <v>6649960896: [58136.68€ ]</v>
      </c>
      <c r="Q138" t="str">
        <f>""</f>
        <v/>
      </c>
      <c r="R138" t="str">
        <f>""</f>
        <v/>
      </c>
      <c r="S138" t="str">
        <f>""</f>
        <v/>
      </c>
      <c r="T138" t="str">
        <f>"https://portaletrasparenza.consorziobacchiglione.it/dettagli/attodigara/10/diserbo-degli-scoli-consorziali-per-l-anno-2016-bacino-sesta-presa-prima-sezione-sinistra-brenta-cottimo-07-2016.html"</f>
        <v>https://portaletrasparenza.consorziobacchiglione.it/dettagli/attodigara/10/diserbo-degli-scoli-consorziali-per-l-anno-2016-bacino-sesta-presa-prima-sezione-sinistra-brenta-cottimo-07-2016.html</v>
      </c>
      <c r="U138" t="str">
        <f>""</f>
        <v/>
      </c>
      <c r="V138">
        <f>(SUBSTITUTE(Tabella1[[#This Row],[Importo di aggiudicazione]],".",","))-(SUBSTITUTE(  SUBSTITUTE(          SUBSTITUTE(Tabella1[[#This Row],[Dettaglio somme liquidate]],Tabella1[[#This Row],[CIG]]&amp;": [",""),"€ ]",""),".",","))</f>
        <v>2724.7200000000012</v>
      </c>
    </row>
    <row r="139" spans="1:22" x14ac:dyDescent="0.3">
      <c r="A139" t="str">
        <f>"Affidamento"</f>
        <v>Affidamento</v>
      </c>
      <c r="B139" t="str">
        <f>"Lavori aggiuntivi."</f>
        <v>Lavori aggiuntivi.</v>
      </c>
      <c r="C139" t="str">
        <f>"ZE531F7FD3"</f>
        <v>ZE531F7FD3</v>
      </c>
      <c r="D139" t="str">
        <f>"03/06/2021"</f>
        <v>03/06/2021</v>
      </c>
      <c r="E139" t="str">
        <f>""</f>
        <v/>
      </c>
      <c r="F139" t="str">
        <f>""</f>
        <v/>
      </c>
      <c r="G139" t="str">
        <f>"25400.00"</f>
        <v>25400.00</v>
      </c>
      <c r="H139" t="str">
        <f>"Consorzio di bonifica Bacchiglione"</f>
        <v>Consorzio di bonifica Bacchiglione</v>
      </c>
      <c r="I139" t="str">
        <f>"92223390284"</f>
        <v>92223390284</v>
      </c>
      <c r="J139" t="str">
        <f>"23-AFFIDAMENTO DIRETTO"</f>
        <v>23-AFFIDAMENTO DIRETTO</v>
      </c>
      <c r="K139" t="str">
        <f>"03/06/2021"</f>
        <v>03/06/2021</v>
      </c>
      <c r="L139" t="str">
        <f>"05/08/2021"</f>
        <v>05/08/2021</v>
      </c>
      <c r="M139" t="str">
        <f>""</f>
        <v/>
      </c>
      <c r="N139" t="str">
        <f>"EDILVI S.A.S"</f>
        <v>EDILVI S.A.S</v>
      </c>
      <c r="O139" t="str">
        <f>"EDILVI S.A.S"</f>
        <v>EDILVI S.A.S</v>
      </c>
      <c r="P139" t="str">
        <f>"ZE531F7FD3: [25400.00€ ]"</f>
        <v>ZE531F7FD3: [25400.00€ ]</v>
      </c>
      <c r="Q139" t="str">
        <f>""</f>
        <v/>
      </c>
      <c r="R139" t="str">
        <f>""</f>
        <v/>
      </c>
      <c r="S139" t="str">
        <f>""</f>
        <v/>
      </c>
      <c r="T139" t="str">
        <f>"https://portaletrasparenza.consorziobacchiglione.it/dettagli/attodigara/6917/lavori-aggiuntivi.html"</f>
        <v>https://portaletrasparenza.consorziobacchiglione.it/dettagli/attodigara/6917/lavori-aggiuntivi.html</v>
      </c>
      <c r="U139" t="str">
        <f>"https://portaletrasparenza.consorziobacchiglione.it/download/attodigara/6917/63ac45934ef6f.PDF"</f>
        <v>https://portaletrasparenza.consorziobacchiglione.it/download/attodigara/6917/63ac45934ef6f.PDF</v>
      </c>
      <c r="V1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0" spans="1:22" x14ac:dyDescent="0.3">
      <c r="A140" t="str">
        <f>"Affidamento"</f>
        <v>Affidamento</v>
      </c>
      <c r="B140" t="str">
        <f>"Fornitura nuovo sgrigliatore Oleodinamico in postazione fissa presso Botte a Sifone Tassia sullo scolo Cavaizza di Codevigo Nord"</f>
        <v>Fornitura nuovo sgrigliatore Oleodinamico in postazione fissa presso Botte a Sifone Tassia sullo scolo Cavaizza di Codevigo Nord</v>
      </c>
      <c r="C140" t="str">
        <f>"ZCA31FB16A"</f>
        <v>ZCA31FB16A</v>
      </c>
      <c r="D140" t="str">
        <f>"07/06/2021"</f>
        <v>07/06/2021</v>
      </c>
      <c r="E140" t="str">
        <f>""</f>
        <v/>
      </c>
      <c r="F140" t="str">
        <f>""</f>
        <v/>
      </c>
      <c r="G140" t="str">
        <f>"38600.00"</f>
        <v>38600.00</v>
      </c>
      <c r="H140" t="str">
        <f>"Consorzio di bonifica Bacchiglione"</f>
        <v>Consorzio di bonifica Bacchiglione</v>
      </c>
      <c r="I140" t="str">
        <f>"92223390284"</f>
        <v>92223390284</v>
      </c>
      <c r="J140" t="str">
        <f>"23-AFFIDAMENTO DIRETTO"</f>
        <v>23-AFFIDAMENTO DIRETTO</v>
      </c>
      <c r="K140" t="str">
        <f>"03/06/2021"</f>
        <v>03/06/2021</v>
      </c>
      <c r="L140" t="str">
        <f>"28/12/2021"</f>
        <v>28/12/2021</v>
      </c>
      <c r="M140" t="str">
        <f>""</f>
        <v/>
      </c>
      <c r="N140" t="str">
        <f>"API S.p.A. Via Brodolini 5A 20089 Rozzano MI"</f>
        <v>API S.p.A. Via Brodolini 5A 20089 Rozzano MI</v>
      </c>
      <c r="O140" t="str">
        <f>"API S.p.A. Via Brodolini 5A 20089 Rozzano MI"</f>
        <v>API S.p.A. Via Brodolini 5A 20089 Rozzano MI</v>
      </c>
      <c r="P140" t="s">
        <v>162</v>
      </c>
      <c r="Q140" t="str">
        <f>""</f>
        <v/>
      </c>
      <c r="R140" t="str">
        <f>""</f>
        <v/>
      </c>
      <c r="S140" t="str">
        <f>""</f>
        <v/>
      </c>
      <c r="T140" t="str">
        <f>"https://portaletrasparenza.consorziobacchiglione.it/dettagli/attodigara/6919/fornitura-nuovo-sgrigliatore-oleodinamico-in-postazione-fissa-presso-botte-a-sifone-tassia-sullo-scolo-cavaizza-di-codevigo-nord.html"</f>
        <v>https://portaletrasparenza.consorziobacchiglione.it/dettagli/attodigara/6919/fornitura-nuovo-sgrigliatore-oleodinamico-in-postazione-fissa-presso-botte-a-sifone-tassia-sullo-scolo-cavaizza-di-codevigo-nord.html</v>
      </c>
      <c r="U140" t="str">
        <f>"https://portaletrasparenza.consorziobacchiglione.it/download/attodigara/6919/63ac459476223.PDF"</f>
        <v>https://portaletrasparenza.consorziobacchiglione.it/download/attodigara/6919/63ac459476223.PDF</v>
      </c>
      <c r="V1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1" spans="1:22" x14ac:dyDescent="0.3">
      <c r="A141" t="str">
        <f>"Affidamento"</f>
        <v>Affidamento</v>
      </c>
      <c r="B141" t="str">
        <f>"Proposta economica per progetto realizzazione uffici presso magazzino in Via Idrovora, 7 Loc. S.Margherita"</f>
        <v>Proposta economica per progetto realizzazione uffici presso magazzino in Via Idrovora, 7 Loc. S.Margherita</v>
      </c>
      <c r="C141" t="str">
        <f>"Z1C31FAF9E"</f>
        <v>Z1C31FAF9E</v>
      </c>
      <c r="D141" t="str">
        <f>"07/06/2021"</f>
        <v>07/06/2021</v>
      </c>
      <c r="E141" t="str">
        <f>""</f>
        <v/>
      </c>
      <c r="F141" t="str">
        <f>""</f>
        <v/>
      </c>
      <c r="G141" t="str">
        <f>"3045.00"</f>
        <v>3045.00</v>
      </c>
      <c r="H141" t="str">
        <f>"Consorzio di bonifica Bacchiglione"</f>
        <v>Consorzio di bonifica Bacchiglione</v>
      </c>
      <c r="I141" t="str">
        <f>"92223390284"</f>
        <v>92223390284</v>
      </c>
      <c r="J141" t="str">
        <f>"23-AFFIDAMENTO DIRETTO"</f>
        <v>23-AFFIDAMENTO DIRETTO</v>
      </c>
      <c r="K141" t="str">
        <f>"03/06/2021"</f>
        <v>03/06/2021</v>
      </c>
      <c r="L141" t="str">
        <f>"31/12/2021"</f>
        <v>31/12/2021</v>
      </c>
      <c r="M141" t="str">
        <f>""</f>
        <v/>
      </c>
      <c r="N141" t="str">
        <f>"Studio Tecnico Magagnato Via Aldo Moro, 134 - Brugine (PD)"</f>
        <v>Studio Tecnico Magagnato Via Aldo Moro, 134 - Brugine (PD)</v>
      </c>
      <c r="O141" t="str">
        <f>"Studio Tecnico Magagnato Via Aldo Moro, 134 - Brugine (PD)"</f>
        <v>Studio Tecnico Magagnato Via Aldo Moro, 134 - Brugine (PD)</v>
      </c>
      <c r="P141" t="str">
        <f>"Z1C31FAF9E: [3016.00€ ]"</f>
        <v>Z1C31FAF9E: [3016.00€ ]</v>
      </c>
      <c r="Q141" t="str">
        <f>""</f>
        <v/>
      </c>
      <c r="R141" t="str">
        <f>""</f>
        <v/>
      </c>
      <c r="S141" t="str">
        <f>""</f>
        <v/>
      </c>
      <c r="T141" t="str">
        <f>"https://portaletrasparenza.consorziobacchiglione.it/dettagli/attodigara/6918/proposta-economica-per-progetto-realizzazione-uffici-presso-magazzino-in-via-idrovora-7-loc-s-margherita.html"</f>
        <v>https://portaletrasparenza.consorziobacchiglione.it/dettagli/attodigara/6918/proposta-economica-per-progetto-realizzazione-uffici-presso-magazzino-in-via-idrovora-7-loc-s-margherita.html</v>
      </c>
      <c r="U141" t="str">
        <f>"https://portaletrasparenza.consorziobacchiglione.it/download/attodigara/6918/63ac45943d7fc.PDF"</f>
        <v>https://portaletrasparenza.consorziobacchiglione.it/download/attodigara/6918/63ac45943d7fc.PDF</v>
      </c>
      <c r="V141">
        <f>(SUBSTITUTE(Tabella1[[#This Row],[Importo di aggiudicazione]],".",","))-(SUBSTITUTE(  SUBSTITUTE(          SUBSTITUTE(Tabella1[[#This Row],[Dettaglio somme liquidate]],Tabella1[[#This Row],[CIG]]&amp;": [",""),"€ ]",""),".",","))</f>
        <v>29</v>
      </c>
    </row>
    <row r="142" spans="1:22" x14ac:dyDescent="0.3">
      <c r="A142" t="str">
        <f>"Affidamento"</f>
        <v>Affidamento</v>
      </c>
      <c r="B142" t="str">
        <f>"Fornitura e posa griglia fermadetriti più nastro trasportatore presso Botte Sifone Tassia, sullo scolo Cavaizza di Codevigo Nord"</f>
        <v>Fornitura e posa griglia fermadetriti più nastro trasportatore presso Botte Sifone Tassia, sullo scolo Cavaizza di Codevigo Nord</v>
      </c>
      <c r="C142" t="str">
        <f>"Z8E31FB2E4"</f>
        <v>Z8E31FB2E4</v>
      </c>
      <c r="D142" t="str">
        <f>"07/10/2021"</f>
        <v>07/10/2021</v>
      </c>
      <c r="E142" t="str">
        <f>""</f>
        <v/>
      </c>
      <c r="F142" t="str">
        <f>""</f>
        <v/>
      </c>
      <c r="G142" t="str">
        <f>"29630.00"</f>
        <v>29630.00</v>
      </c>
      <c r="H142" t="str">
        <f>"Consorzio di bonifica Bacchiglione"</f>
        <v>Consorzio di bonifica Bacchiglione</v>
      </c>
      <c r="I142" t="str">
        <f>"92223390284"</f>
        <v>92223390284</v>
      </c>
      <c r="J142" t="str">
        <f>"23-AFFIDAMENTO DIRETTO"</f>
        <v>23-AFFIDAMENTO DIRETTO</v>
      </c>
      <c r="K142" t="str">
        <f>"03/06/2021"</f>
        <v>03/06/2021</v>
      </c>
      <c r="L142" t="str">
        <f>"03/02/2022"</f>
        <v>03/02/2022</v>
      </c>
      <c r="M142" t="str">
        <f>""</f>
        <v/>
      </c>
      <c r="N142" t="str">
        <f>"Elettromeccanica Euganea Srl Via Caossea, 61 - 35038 Torreglia (PD)"</f>
        <v>Elettromeccanica Euganea Srl Via Caossea, 61 - 35038 Torreglia (PD)</v>
      </c>
      <c r="O142" t="str">
        <f>"Elettromeccanica Euganea Srl Via Caossea, 61 - 35038 Torreglia (PD)"</f>
        <v>Elettromeccanica Euganea Srl Via Caossea, 61 - 35038 Torreglia (PD)</v>
      </c>
      <c r="P142" t="s">
        <v>145</v>
      </c>
      <c r="Q142" t="str">
        <f>""</f>
        <v/>
      </c>
      <c r="R142" t="str">
        <f>""</f>
        <v/>
      </c>
      <c r="S142" t="str">
        <f>""</f>
        <v/>
      </c>
      <c r="T142" t="str">
        <f>"https://portaletrasparenza.consorziobacchiglione.it/dettagli/attodigara/6920/fornitura-e-posa-griglia-fermadetriti-piu-nastro-trasportatore-presso-botte-sifone-tassia-sullo-scolo-cavaizza-di-codevigo-nord.html"</f>
        <v>https://portaletrasparenza.consorziobacchiglione.it/dettagli/attodigara/6920/fornitura-e-posa-griglia-fermadetriti-piu-nastro-trasportatore-presso-botte-sifone-tassia-sullo-scolo-cavaizza-di-codevigo-nord.html</v>
      </c>
      <c r="U142" t="str">
        <f>"https://portaletrasparenza.consorziobacchiglione.it/download/attodigara/6920/63ac45d776749.PDF"</f>
        <v>https://portaletrasparenza.consorziobacchiglione.it/download/attodigara/6920/63ac45d776749.PDF</v>
      </c>
      <c r="V1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3" spans="1:22" x14ac:dyDescent="0.3">
      <c r="A143" t="str">
        <f>"Affidamento"</f>
        <v>Affidamento</v>
      </c>
      <c r="B143" t="str">
        <f>"Somme a disposizione - Lavori di assistenza e messa in sicurezza delle linee aeree, sottoservizi e viabilità comunali: Manufatto Telecom ai piedi cavalcavia Camerini. RFI- via Canal Bianco, etc. - Processo ID 006-03."</f>
        <v>Somme a disposizione - Lavori di assistenza e messa in sicurezza delle linee aeree, sottoservizi e viabilità comunali: Manufatto Telecom ai piedi cavalcavia Camerini. RFI- via Canal Bianco, etc. - Processo ID 006-03.</v>
      </c>
      <c r="C143" t="str">
        <f>"ZA51ADA265"</f>
        <v>ZA51ADA265</v>
      </c>
      <c r="D143" t="str">
        <f>"04/11/2021"</f>
        <v>04/11/2021</v>
      </c>
      <c r="E143" t="str">
        <f>""</f>
        <v/>
      </c>
      <c r="F143" t="str">
        <f>""</f>
        <v/>
      </c>
      <c r="G143" t="str">
        <f>"38834.23"</f>
        <v>38834.23</v>
      </c>
      <c r="H143" t="str">
        <f>"Consorzio di bonifica Bacchiglione"</f>
        <v>Consorzio di bonifica Bacchiglione</v>
      </c>
      <c r="I143" t="str">
        <f>"92223390284"</f>
        <v>92223390284</v>
      </c>
      <c r="J143" t="str">
        <f>"23-AFFIDAMENTO DIRETTO"</f>
        <v>23-AFFIDAMENTO DIRETTO</v>
      </c>
      <c r="K143" t="str">
        <f>"03/08/2021"</f>
        <v>03/08/2021</v>
      </c>
      <c r="L143" t="str">
        <f>"19/09/2021"</f>
        <v>19/09/2021</v>
      </c>
      <c r="M143" t="str">
        <f>""</f>
        <v/>
      </c>
      <c r="N143" t="str">
        <f>"Tresoldi Costruzioni s.r.l."</f>
        <v>Tresoldi Costruzioni s.r.l.</v>
      </c>
      <c r="O143" t="str">
        <f>"Tresoldi Costruzioni s.r.l."</f>
        <v>Tresoldi Costruzioni s.r.l.</v>
      </c>
      <c r="P143" t="str">
        <f>"ZA51ADA265: [38834.23€ ]"</f>
        <v>ZA51ADA265: [38834.23€ ]</v>
      </c>
      <c r="Q143" t="str">
        <f>""</f>
        <v/>
      </c>
      <c r="R143" t="str">
        <f>""</f>
        <v/>
      </c>
      <c r="S143" t="str">
        <f>""</f>
        <v/>
      </c>
      <c r="T143" t="s">
        <v>41</v>
      </c>
      <c r="U143" t="str">
        <f>""</f>
        <v/>
      </c>
      <c r="V14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4" spans="1:22" x14ac:dyDescent="0.3">
      <c r="A144" t="str">
        <f>"Affidamento"</f>
        <v>Affidamento</v>
      </c>
      <c r="B144" t="str">
        <f>"Somme in Diretta Amministrazione - Fornitura in opera di componenti elettromeccanici di miglioria e completamento delle strutture di scarico dell'impianto Idrovoro - la 2^ Stazione di Sollevamento fiume Brenta. - Process"</f>
        <v>Somme in Diretta Amministrazione - Fornitura in opera di componenti elettromeccanici di miglioria e completamento delle strutture di scarico dell'impianto Idrovoro - la 2^ Stazione di Sollevamento fiume Brenta. - Process</v>
      </c>
      <c r="C144" t="str">
        <f>"Z091AD9CA0"</f>
        <v>Z091AD9CA0</v>
      </c>
      <c r="D144" t="str">
        <f>"04/11/2021"</f>
        <v>04/11/2021</v>
      </c>
      <c r="E144" t="str">
        <f>""</f>
        <v/>
      </c>
      <c r="F144" t="str">
        <f>""</f>
        <v/>
      </c>
      <c r="G144" t="str">
        <f>"35505.77"</f>
        <v>35505.77</v>
      </c>
      <c r="H144" t="str">
        <f>"Consorzio di bonifica Bacchiglione"</f>
        <v>Consorzio di bonifica Bacchiglione</v>
      </c>
      <c r="I144" t="str">
        <f>"92223390284"</f>
        <v>92223390284</v>
      </c>
      <c r="J144" t="str">
        <f>"23-AFFIDAMENTO DIRETTO"</f>
        <v>23-AFFIDAMENTO DIRETTO</v>
      </c>
      <c r="K144" t="str">
        <f>"03/08/2021"</f>
        <v>03/08/2021</v>
      </c>
      <c r="L144" t="str">
        <f>"04/01/2021"</f>
        <v>04/01/2021</v>
      </c>
      <c r="M144" t="str">
        <f>""</f>
        <v/>
      </c>
      <c r="N144" t="str">
        <f>"Idronord s.r.l."</f>
        <v>Idronord s.r.l.</v>
      </c>
      <c r="O144" t="str">
        <f>"Idronord s.r.l."</f>
        <v>Idronord s.r.l.</v>
      </c>
      <c r="P144" t="str">
        <f>"Z091AD9CA0: [35505.77€ ]"</f>
        <v>Z091AD9CA0: [35505.77€ ]</v>
      </c>
      <c r="Q144" t="str">
        <f>""</f>
        <v/>
      </c>
      <c r="R144" t="str">
        <f>""</f>
        <v/>
      </c>
      <c r="S144" t="str">
        <f>""</f>
        <v/>
      </c>
      <c r="T144" t="s">
        <v>42</v>
      </c>
      <c r="U144" t="str">
        <f>""</f>
        <v/>
      </c>
      <c r="V14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5" spans="1:22" x14ac:dyDescent="0.3">
      <c r="A145" t="str">
        <f>"Affidamento"</f>
        <v>Affidamento</v>
      </c>
      <c r="B145" t="str">
        <f>"Somme in Diretta Amministrazione - Lavori di completamento e miglioria degli impianti elettrici e di protezione pompe del grasso da eseguirsi presso la 2^ Stazione di Sollevamento - Processo ID 006-03."</f>
        <v>Somme in Diretta Amministrazione - Lavori di completamento e miglioria degli impianti elettrici e di protezione pompe del grasso da eseguirsi presso la 2^ Stazione di Sollevamento - Processo ID 006-03.</v>
      </c>
      <c r="C145" t="str">
        <f>"Z3E1AD9943"</f>
        <v>Z3E1AD9943</v>
      </c>
      <c r="D145" t="str">
        <f>"04/11/2021"</f>
        <v>04/11/2021</v>
      </c>
      <c r="E145" t="str">
        <f>""</f>
        <v/>
      </c>
      <c r="F145" t="str">
        <f>""</f>
        <v/>
      </c>
      <c r="G145" t="str">
        <f>"4766.00"</f>
        <v>4766.00</v>
      </c>
      <c r="H145" t="str">
        <f>"Consorzio di bonifica Bacchiglione"</f>
        <v>Consorzio di bonifica Bacchiglione</v>
      </c>
      <c r="I145" t="str">
        <f>"92223390284"</f>
        <v>92223390284</v>
      </c>
      <c r="J145" t="str">
        <f>"23-AFFIDAMENTO DIRETTO"</f>
        <v>23-AFFIDAMENTO DIRETTO</v>
      </c>
      <c r="K145" t="str">
        <f>"03/08/2021"</f>
        <v>03/08/2021</v>
      </c>
      <c r="L145" t="str">
        <f>"27/09/2021"</f>
        <v>27/09/2021</v>
      </c>
      <c r="M145" t="str">
        <f>""</f>
        <v/>
      </c>
      <c r="N145" t="str">
        <f>"GPG S.r.l."</f>
        <v>GPG S.r.l.</v>
      </c>
      <c r="O145" t="str">
        <f>"GPG S.r.l."</f>
        <v>GPG S.r.l.</v>
      </c>
      <c r="P145" t="str">
        <f>"Z3E1AD9943: [4766.00€ ]"</f>
        <v>Z3E1AD9943: [4766.00€ ]</v>
      </c>
      <c r="Q145" t="str">
        <f>""</f>
        <v/>
      </c>
      <c r="R145" t="str">
        <f>""</f>
        <v/>
      </c>
      <c r="S145" t="str">
        <f>""</f>
        <v/>
      </c>
      <c r="T145" t="s">
        <v>43</v>
      </c>
      <c r="U145" t="str">
        <f>""</f>
        <v/>
      </c>
      <c r="V14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6" spans="1:22" x14ac:dyDescent="0.3">
      <c r="A146" t="str">
        <f>"Affidamento"</f>
        <v>Affidamento</v>
      </c>
      <c r="B146" t="str">
        <f>"Manutenzione e riparazione mezzi targati: AKB005, AKD221"</f>
        <v>Manutenzione e riparazione mezzi targati: AKB005, AKD221</v>
      </c>
      <c r="C146" t="str">
        <f>"ZE932AE7C2"</f>
        <v>ZE932AE7C2</v>
      </c>
      <c r="D146" t="str">
        <f>"04/08/2021"</f>
        <v>04/08/2021</v>
      </c>
      <c r="E146" t="str">
        <f>""</f>
        <v/>
      </c>
      <c r="F146" t="str">
        <f>""</f>
        <v/>
      </c>
      <c r="G146" t="str">
        <f>"8001.38"</f>
        <v>8001.38</v>
      </c>
      <c r="H146" t="str">
        <f>"Consorzio di bonifica Bacchiglione"</f>
        <v>Consorzio di bonifica Bacchiglione</v>
      </c>
      <c r="I146" t="str">
        <f>"92223390284"</f>
        <v>92223390284</v>
      </c>
      <c r="J146" t="str">
        <f>"23-AFFIDAMENTO DIRETTO"</f>
        <v>23-AFFIDAMENTO DIRETTO</v>
      </c>
      <c r="K146" t="str">
        <f>"03/08/2021"</f>
        <v>03/08/2021</v>
      </c>
      <c r="L146" t="str">
        <f>"09/09/2021"</f>
        <v>09/09/2021</v>
      </c>
      <c r="M146" t="str">
        <f>""</f>
        <v/>
      </c>
      <c r="N146" t="str">
        <f>"Officina Biesse S.n.c. Via Matteotti 24 35020 Arzergrande PD"</f>
        <v>Officina Biesse S.n.c. Via Matteotti 24 35020 Arzergrande PD</v>
      </c>
      <c r="O146" t="str">
        <f>"Officina Biesse S.n.c. Via Matteotti 24 35020 Arzergrande PD"</f>
        <v>Officina Biesse S.n.c. Via Matteotti 24 35020 Arzergrande PD</v>
      </c>
      <c r="P146" t="str">
        <f>"ZE932AE7C2: [8001.38€ ]"</f>
        <v>ZE932AE7C2: [8001.38€ ]</v>
      </c>
      <c r="Q146" t="str">
        <f>""</f>
        <v/>
      </c>
      <c r="R146" t="str">
        <f>""</f>
        <v/>
      </c>
      <c r="S146" t="str">
        <f>""</f>
        <v/>
      </c>
      <c r="T146" t="str">
        <f>"https://portaletrasparenza.consorziobacchiglione.it/dettagli/attodigara/7057/manutenzione-e-riparazione-mezzi-targati-akb005-akd221.html"</f>
        <v>https://portaletrasparenza.consorziobacchiglione.it/dettagli/attodigara/7057/manutenzione-e-riparazione-mezzi-targati-akb005-akd221.html</v>
      </c>
      <c r="U146" t="str">
        <f>"https://portaletrasparenza.consorziobacchiglione.it/download/attodigara/7057/63ac45b300e8c.PDF"</f>
        <v>https://portaletrasparenza.consorziobacchiglione.it/download/attodigara/7057/63ac45b300e8c.PDF</v>
      </c>
      <c r="V1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7" spans="1:22" x14ac:dyDescent="0.3">
      <c r="A147" t="str">
        <f>"Affidamento"</f>
        <v>Affidamento</v>
      </c>
      <c r="B147" t="str">
        <f>"Manutenzione e riparazione mezzo con targa: FF974PM"</f>
        <v>Manutenzione e riparazione mezzo con targa: FF974PM</v>
      </c>
      <c r="C147" t="str">
        <f>"ZC232ABBE9"</f>
        <v>ZC232ABBE9</v>
      </c>
      <c r="D147" t="str">
        <f>"04/08/2021"</f>
        <v>04/08/2021</v>
      </c>
      <c r="E147" t="str">
        <f>""</f>
        <v/>
      </c>
      <c r="F147" t="str">
        <f>""</f>
        <v/>
      </c>
      <c r="G147" t="str">
        <f>"1196.80"</f>
        <v>1196.80</v>
      </c>
      <c r="H147" t="str">
        <f>"Consorzio di bonifica Bacchiglione"</f>
        <v>Consorzio di bonifica Bacchiglione</v>
      </c>
      <c r="I147" t="str">
        <f>"92223390284"</f>
        <v>92223390284</v>
      </c>
      <c r="J147" t="str">
        <f>"23-AFFIDAMENTO DIRETTO"</f>
        <v>23-AFFIDAMENTO DIRETTO</v>
      </c>
      <c r="K147" t="str">
        <f>"03/08/2021"</f>
        <v>03/08/2021</v>
      </c>
      <c r="L147" t="str">
        <f>"24/02/2023"</f>
        <v>24/02/2023</v>
      </c>
      <c r="M147" t="str">
        <f>""</f>
        <v/>
      </c>
      <c r="N147" t="str">
        <f>"Officina Autotreni Carraro Franco srl Via Gelsi 79 35028 Piove di Sacco PD"</f>
        <v>Officina Autotreni Carraro Franco srl Via Gelsi 79 35028 Piove di Sacco PD</v>
      </c>
      <c r="O147" t="str">
        <f>"Officina Autotreni Carraro Franco srl Via Gelsi 79 35028 Piove di Sacco PD"</f>
        <v>Officina Autotreni Carraro Franco srl Via Gelsi 79 35028 Piove di Sacco PD</v>
      </c>
      <c r="P147" t="str">
        <f>"ZC232ABBE9: [1196.80€ ]"</f>
        <v>ZC232ABBE9: [1196.80€ ]</v>
      </c>
      <c r="Q147" t="str">
        <f>""</f>
        <v/>
      </c>
      <c r="R147" t="str">
        <f>""</f>
        <v/>
      </c>
      <c r="S147" t="str">
        <f>""</f>
        <v/>
      </c>
      <c r="T147" t="str">
        <f>"https://portaletrasparenza.consorziobacchiglione.it/dettagli/attodigara/7056/manutenzione-e-riparazione-mezzo-con-targa-ff974pm.html"</f>
        <v>https://portaletrasparenza.consorziobacchiglione.it/dettagli/attodigara/7056/manutenzione-e-riparazione-mezzo-con-targa-ff974pm.html</v>
      </c>
      <c r="U147" t="str">
        <f>"https://portaletrasparenza.consorziobacchiglione.it/download/attodigara/7056/62a20a503758f.PDF"</f>
        <v>https://portaletrasparenza.consorziobacchiglione.it/download/attodigara/7056/62a20a503758f.PDF</v>
      </c>
      <c r="V14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8" spans="1:22" x14ac:dyDescent="0.3">
      <c r="A148" t="str">
        <f>"Affidamento"</f>
        <v>Affidamento</v>
      </c>
      <c r="B148" t="str">
        <f>"Controllo semestrale gru con rilascio scheda del mezzo targato: FT040WG"</f>
        <v>Controllo semestrale gru con rilascio scheda del mezzo targato: FT040WG</v>
      </c>
      <c r="C148" t="str">
        <f>"ZDD32AB380"</f>
        <v>ZDD32AB380</v>
      </c>
      <c r="D148" t="str">
        <f>"04/08/2021"</f>
        <v>04/08/2021</v>
      </c>
      <c r="E148" t="str">
        <f>""</f>
        <v/>
      </c>
      <c r="F148" t="str">
        <f>""</f>
        <v/>
      </c>
      <c r="G148" t="str">
        <f>"240.00"</f>
        <v>240.00</v>
      </c>
      <c r="H148" t="str">
        <f>"Consorzio di bonifica Bacchiglione"</f>
        <v>Consorzio di bonifica Bacchiglione</v>
      </c>
      <c r="I148" t="str">
        <f>"92223390284"</f>
        <v>92223390284</v>
      </c>
      <c r="J148" t="str">
        <f>"23-AFFIDAMENTO DIRETTO"</f>
        <v>23-AFFIDAMENTO DIRETTO</v>
      </c>
      <c r="K148" t="str">
        <f>"03/08/2021"</f>
        <v>03/08/2021</v>
      </c>
      <c r="L148" t="str">
        <f>"31/08/2021"</f>
        <v>31/08/2021</v>
      </c>
      <c r="M148" t="str">
        <f>""</f>
        <v/>
      </c>
      <c r="N148" t="str">
        <f>"Moressa s.r.l. Via Cuccara 2 35020 Due Carrare PD"</f>
        <v>Moressa s.r.l. Via Cuccara 2 35020 Due Carrare PD</v>
      </c>
      <c r="O148" t="str">
        <f>"Moressa s.r.l. Via Cuccara 2 35020 Due Carrare PD"</f>
        <v>Moressa s.r.l. Via Cuccara 2 35020 Due Carrare PD</v>
      </c>
      <c r="P148" t="str">
        <f>"ZDD32AB380: [240.00€ ]"</f>
        <v>ZDD32AB380: [240.00€ ]</v>
      </c>
      <c r="Q148" t="str">
        <f>""</f>
        <v/>
      </c>
      <c r="R148" t="str">
        <f>""</f>
        <v/>
      </c>
      <c r="S148" t="str">
        <f>""</f>
        <v/>
      </c>
      <c r="T148" t="str">
        <f>"https://portaletrasparenza.consorziobacchiglione.it/dettagli/attodigara/7055/controllo-semestrale-gru-con-rilascio-scheda-del-mezzo-targato-ft040wg.html"</f>
        <v>https://portaletrasparenza.consorziobacchiglione.it/dettagli/attodigara/7055/controllo-semestrale-gru-con-rilascio-scheda-del-mezzo-targato-ft040wg.html</v>
      </c>
      <c r="U148" t="str">
        <f>"https://portaletrasparenza.consorziobacchiglione.it/download/attodigara/7055/63ac45b2bc5eb.PDF"</f>
        <v>https://portaletrasparenza.consorziobacchiglione.it/download/attodigara/7055/63ac45b2bc5eb.PDF</v>
      </c>
      <c r="V1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9" spans="1:22" x14ac:dyDescent="0.3">
      <c r="A149" t="str">
        <f>"Affidamento"</f>
        <v>Affidamento</v>
      </c>
      <c r="B149" t="str">
        <f>"Noleggio vibroinfissore piantapalo FCP22 completo di pinza per pali in legno per lavori presso scolo Menona"</f>
        <v>Noleggio vibroinfissore piantapalo FCP22 completo di pinza per pali in legno per lavori presso scolo Menona</v>
      </c>
      <c r="C149" t="str">
        <f>"Z2032EA763"</f>
        <v>Z2032EA763</v>
      </c>
      <c r="D149" t="str">
        <f>"03/09/2021"</f>
        <v>03/09/2021</v>
      </c>
      <c r="E149" t="str">
        <f>""</f>
        <v/>
      </c>
      <c r="F149" t="str">
        <f>""</f>
        <v/>
      </c>
      <c r="G149" t="str">
        <f>"2400.00"</f>
        <v>2400.00</v>
      </c>
      <c r="H149" t="str">
        <f>"Consorzio di bonifica Bacchiglione"</f>
        <v>Consorzio di bonifica Bacchiglione</v>
      </c>
      <c r="I149" t="str">
        <f>"92223390284"</f>
        <v>92223390284</v>
      </c>
      <c r="J149" t="str">
        <f>"23-AFFIDAMENTO DIRETTO"</f>
        <v>23-AFFIDAMENTO DIRETTO</v>
      </c>
      <c r="K149" t="str">
        <f>"03/09/2021"</f>
        <v>03/09/2021</v>
      </c>
      <c r="L149" t="str">
        <f>"13/09/2021"</f>
        <v>13/09/2021</v>
      </c>
      <c r="M149" t="str">
        <f>""</f>
        <v/>
      </c>
      <c r="N149" t="str">
        <f>"Sorme s.n.c. Via Monache 21 35030 Selvazzano Dentro PD"</f>
        <v>Sorme s.n.c. Via Monache 21 35030 Selvazzano Dentro PD</v>
      </c>
      <c r="O149" t="str">
        <f>"Sorme s.n.c. Via Monache 21 35030 Selvazzano Dentro PD"</f>
        <v>Sorme s.n.c. Via Monache 21 35030 Selvazzano Dentro PD</v>
      </c>
      <c r="P149" t="str">
        <f>"Z2032EA763: [2400.00€ ]"</f>
        <v>Z2032EA763: [2400.00€ ]</v>
      </c>
      <c r="Q149" t="str">
        <f>""</f>
        <v/>
      </c>
      <c r="R149" t="str">
        <f>""</f>
        <v/>
      </c>
      <c r="S149" t="str">
        <f>""</f>
        <v/>
      </c>
      <c r="T149" t="str">
        <f>"https://portaletrasparenza.consorziobacchiglione.it/dettagli/attodigara/7101/noleggio-vibroinfissore-piantapalo-fcp22-completo-di-pinza-per-pali-in-legno-per-lavori-presso-scolo-menona.html"</f>
        <v>https://portaletrasparenza.consorziobacchiglione.it/dettagli/attodigara/7101/noleggio-vibroinfissore-piantapalo-fcp22-completo-di-pinza-per-pali-in-legno-per-lavori-presso-scolo-menona.html</v>
      </c>
      <c r="U149" t="str">
        <f>"https://portaletrasparenza.consorziobacchiglione.it/download/attodigara/7101/63ac45bd1e139.PDF"</f>
        <v>https://portaletrasparenza.consorziobacchiglione.it/download/attodigara/7101/63ac45bd1e139.PDF</v>
      </c>
      <c r="V1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0" spans="1:22" x14ac:dyDescent="0.3">
      <c r="A150" t="str">
        <f>"Affidamento"</f>
        <v>Affidamento</v>
      </c>
      <c r="B150" t="str">
        <f>"Manutenzioni organi di manovra delle n.5 paratoie e sostituzione n.5 Attuatori Drehmo presso Nodo Idraulico Botte di Tassia."</f>
        <v>Manutenzioni organi di manovra delle n.5 paratoie e sostituzione n.5 Attuatori Drehmo presso Nodo Idraulico Botte di Tassia.</v>
      </c>
      <c r="C150" t="str">
        <f>"Z4D32E4A9B"</f>
        <v>Z4D32E4A9B</v>
      </c>
      <c r="D150" t="str">
        <f>"03/09/2021"</f>
        <v>03/09/2021</v>
      </c>
      <c r="E150" t="str">
        <f>""</f>
        <v/>
      </c>
      <c r="F150" t="str">
        <f>""</f>
        <v/>
      </c>
      <c r="G150" t="str">
        <f>"34100.00"</f>
        <v>34100.00</v>
      </c>
      <c r="H150" t="str">
        <f>"Consorzio di bonifica Bacchiglione"</f>
        <v>Consorzio di bonifica Bacchiglione</v>
      </c>
      <c r="I150" t="str">
        <f>"92223390284"</f>
        <v>92223390284</v>
      </c>
      <c r="J150" t="str">
        <f>"23-AFFIDAMENTO DIRETTO"</f>
        <v>23-AFFIDAMENTO DIRETTO</v>
      </c>
      <c r="K150" t="str">
        <f>"03/09/2021"</f>
        <v>03/09/2021</v>
      </c>
      <c r="L150" t="str">
        <f>"26/05/2023"</f>
        <v>26/05/2023</v>
      </c>
      <c r="M150" t="str">
        <f>""</f>
        <v/>
      </c>
      <c r="N150" t="str">
        <f>"F.lli Scapin S.R.L. Viale dell' Artigianato 67 35013 Cittadella PD"</f>
        <v>F.lli Scapin S.R.L. Viale dell' Artigianato 67 35013 Cittadella PD</v>
      </c>
      <c r="O150" t="str">
        <f>"F.lli Scapin S.R.L. Viale dell' Artigianato 67 35013 Cittadella PD"</f>
        <v>F.lli Scapin S.R.L. Viale dell' Artigianato 67 35013 Cittadella PD</v>
      </c>
      <c r="P150" t="str">
        <f>"Z4D32E4A9B: [34100.00€ ]"</f>
        <v>Z4D32E4A9B: [34100.00€ ]</v>
      </c>
      <c r="Q150" t="str">
        <f>""</f>
        <v/>
      </c>
      <c r="R150" t="str">
        <f>""</f>
        <v/>
      </c>
      <c r="S150" t="str">
        <f>""</f>
        <v/>
      </c>
      <c r="T150" t="str">
        <f>"https://portaletrasparenza.consorziobacchiglione.it/dettagli/attodigara/7100/manutenzioni-organi-di-manovra-delle-n-5-paratoie-e-sostituzione-n-5-attuatori-drehmo-presso-nodo-idraulico-botte-di-tassia.html"</f>
        <v>https://portaletrasparenza.consorziobacchiglione.it/dettagli/attodigara/7100/manutenzioni-organi-di-manovra-delle-n-5-paratoie-e-sostituzione-n-5-attuatori-drehmo-presso-nodo-idraulico-botte-di-tassia.html</v>
      </c>
      <c r="U150" t="str">
        <f>"https://portaletrasparenza.consorziobacchiglione.it/download/attodigara/7100/63ac45bcd9813.PDF"</f>
        <v>https://portaletrasparenza.consorziobacchiglione.it/download/attodigara/7100/63ac45bcd9813.PDF</v>
      </c>
      <c r="V15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1" spans="1:22" x14ac:dyDescent="0.3">
      <c r="A151" t="str">
        <f>"Affidamento"</f>
        <v>Affidamento</v>
      </c>
      <c r="B151" t="str">
        <f>"Lavoro di sabbiatura e pulizia componenti della elettropompa Varisco N. 3 tipo J151."</f>
        <v>Lavoro di sabbiatura e pulizia componenti della elettropompa Varisco N. 3 tipo J151.</v>
      </c>
      <c r="C151" t="str">
        <f>"Z8B1B67F0E"</f>
        <v>Z8B1B67F0E</v>
      </c>
      <c r="D151" t="str">
        <f>"04/11/2021"</f>
        <v>04/11/2021</v>
      </c>
      <c r="E151" t="str">
        <f>""</f>
        <v/>
      </c>
      <c r="F151" t="str">
        <f>""</f>
        <v/>
      </c>
      <c r="G151" t="str">
        <f>"1360.00"</f>
        <v>1360.00</v>
      </c>
      <c r="H151" t="str">
        <f>"Consorzio di bonifica Bacchiglione"</f>
        <v>Consorzio di bonifica Bacchiglione</v>
      </c>
      <c r="I151" t="str">
        <f>"92223390284"</f>
        <v>92223390284</v>
      </c>
      <c r="J151" t="str">
        <f>"23-AFFIDAMENTO DIRETTO"</f>
        <v>23-AFFIDAMENTO DIRETTO</v>
      </c>
      <c r="K151" t="str">
        <f>"03/10/2021"</f>
        <v>03/10/2021</v>
      </c>
      <c r="L151" t="str">
        <f>"15/11/2021"</f>
        <v>15/11/2021</v>
      </c>
      <c r="M151" t="str">
        <f>""</f>
        <v/>
      </c>
      <c r="N151" t="str">
        <f>"Scarpa Sergio Elettromeccanica S.n.c. di Scarpa Paola E C. Via A. Vivaldi 7 35028 Piove di Sacco PD"</f>
        <v>Scarpa Sergio Elettromeccanica S.n.c. di Scarpa Paola E C. Via A. Vivaldi 7 35028 Piove di Sacco PD</v>
      </c>
      <c r="O151" t="str">
        <f>"Scarpa Sergio Elettromeccanica S.n.c. di Scarpa Paola E C. Via A. Vivaldi 7 35028 Piove di Sacco PD"</f>
        <v>Scarpa Sergio Elettromeccanica S.n.c. di Scarpa Paola E C. Via A. Vivaldi 7 35028 Piove di Sacco PD</v>
      </c>
      <c r="P151" t="str">
        <f>"Z8B1B67F0E: [1360.00€ ]"</f>
        <v>Z8B1B67F0E: [1360.00€ ]</v>
      </c>
      <c r="Q151" t="str">
        <f>""</f>
        <v/>
      </c>
      <c r="R151" t="str">
        <f>""</f>
        <v/>
      </c>
      <c r="S151" t="str">
        <f>""</f>
        <v/>
      </c>
      <c r="T151" t="str">
        <f>"https://portaletrasparenza.consorziobacchiglione.it/dettagli/attodigara/797/lavoro-di-sabbiatura-e-pulizia-componenti-della-elettropompa-varisco-n-3-tipo-j151.html"</f>
        <v>https://portaletrasparenza.consorziobacchiglione.it/dettagli/attodigara/797/lavoro-di-sabbiatura-e-pulizia-componenti-della-elettropompa-varisco-n-3-tipo-j151.html</v>
      </c>
      <c r="U151" t="str">
        <f>""</f>
        <v/>
      </c>
      <c r="V15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2" spans="1:22" x14ac:dyDescent="0.3">
      <c r="A152" t="str">
        <f>"Affidamento"</f>
        <v>Affidamento</v>
      </c>
      <c r="B152" t="str">
        <f>"Riparazione e manutenzione mezzo con targa : PDAF480."</f>
        <v>Riparazione e manutenzione mezzo con targa : PDAF480.</v>
      </c>
      <c r="C152" t="str">
        <f>"Z651B67CA8"</f>
        <v>Z651B67CA8</v>
      </c>
      <c r="D152" t="str">
        <f>"04/11/2021"</f>
        <v>04/11/2021</v>
      </c>
      <c r="E152" t="str">
        <f>""</f>
        <v/>
      </c>
      <c r="F152" t="str">
        <f>""</f>
        <v/>
      </c>
      <c r="G152" t="str">
        <f>"314.00"</f>
        <v>314.00</v>
      </c>
      <c r="H152" t="str">
        <f>"Consorzio di bonifica Bacchiglione"</f>
        <v>Consorzio di bonifica Bacchiglione</v>
      </c>
      <c r="I152" t="str">
        <f>"92223390284"</f>
        <v>92223390284</v>
      </c>
      <c r="J152" t="str">
        <f>"23-AFFIDAMENTO DIRETTO"</f>
        <v>23-AFFIDAMENTO DIRETTO</v>
      </c>
      <c r="K152" t="str">
        <f>"03/10/2021"</f>
        <v>03/10/2021</v>
      </c>
      <c r="L152" t="str">
        <f>"03/01/2021"</f>
        <v>03/01/2021</v>
      </c>
      <c r="M152" t="str">
        <f>""</f>
        <v/>
      </c>
      <c r="N152" t="str">
        <f>"Officina Biesse S.n.c. Via Matteotti 24 35020 Arzergrande PD"</f>
        <v>Officina Biesse S.n.c. Via Matteotti 24 35020 Arzergrande PD</v>
      </c>
      <c r="O152" t="str">
        <f>"Officina Biesse S.n.c. Via Matteotti 24 35020 Arzergrande PD"</f>
        <v>Officina Biesse S.n.c. Via Matteotti 24 35020 Arzergrande PD</v>
      </c>
      <c r="P152" t="str">
        <f>"Z651B67CA8: [314.00€ ]"</f>
        <v>Z651B67CA8: [314.00€ ]</v>
      </c>
      <c r="Q152" t="str">
        <f>""</f>
        <v/>
      </c>
      <c r="R152" t="str">
        <f>""</f>
        <v/>
      </c>
      <c r="S152" t="str">
        <f>""</f>
        <v/>
      </c>
      <c r="T152" t="str">
        <f>"https://portaletrasparenza.consorziobacchiglione.it/dettagli/attodigara/796/riparazione-e-manutenzione-mezzo-con-targa-pdaf480.html"</f>
        <v>https://portaletrasparenza.consorziobacchiglione.it/dettagli/attodigara/796/riparazione-e-manutenzione-mezzo-con-targa-pdaf480.html</v>
      </c>
      <c r="U152" t="str">
        <f>""</f>
        <v/>
      </c>
      <c r="V1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3" spans="1:22" x14ac:dyDescent="0.3">
      <c r="A153" t="str">
        <f>"Affidamento"</f>
        <v>Affidamento</v>
      </c>
      <c r="B153" t="str">
        <f>"Noleggio vibroinfissore piantapalo Furukawa per lavori scolo Rialto."</f>
        <v>Noleggio vibroinfissore piantapalo Furukawa per lavori scolo Rialto.</v>
      </c>
      <c r="C153" t="str">
        <f>"Z5E1B67BC0"</f>
        <v>Z5E1B67BC0</v>
      </c>
      <c r="D153" t="str">
        <f>"04/11/2021"</f>
        <v>04/11/2021</v>
      </c>
      <c r="E153" t="str">
        <f>""</f>
        <v/>
      </c>
      <c r="F153" t="str">
        <f>""</f>
        <v/>
      </c>
      <c r="G153" t="str">
        <f>"1600.00"</f>
        <v>1600.00</v>
      </c>
      <c r="H153" t="str">
        <f>"Consorzio di bonifica Bacchiglione"</f>
        <v>Consorzio di bonifica Bacchiglione</v>
      </c>
      <c r="I153" t="str">
        <f>"92223390284"</f>
        <v>92223390284</v>
      </c>
      <c r="J153" t="str">
        <f>"23-AFFIDAMENTO DIRETTO"</f>
        <v>23-AFFIDAMENTO DIRETTO</v>
      </c>
      <c r="K153" t="str">
        <f>"03/10/2021"</f>
        <v>03/10/2021</v>
      </c>
      <c r="L153" t="str">
        <f>"15/11/2021"</f>
        <v>15/11/2021</v>
      </c>
      <c r="M153" t="str">
        <f>""</f>
        <v/>
      </c>
      <c r="N153" t="str">
        <f>"Sorme s.n.c. Via Monache 21 35030 Selvazzano Dentro PD"</f>
        <v>Sorme s.n.c. Via Monache 21 35030 Selvazzano Dentro PD</v>
      </c>
      <c r="O153" t="str">
        <f>"Sorme s.n.c. Via Monache 21 35030 Selvazzano Dentro PD"</f>
        <v>Sorme s.n.c. Via Monache 21 35030 Selvazzano Dentro PD</v>
      </c>
      <c r="P153" t="str">
        <f>"Z5E1B67BC0: [0.00€ ]"</f>
        <v>Z5E1B67BC0: [0.00€ ]</v>
      </c>
      <c r="Q153" t="str">
        <f>""</f>
        <v/>
      </c>
      <c r="R153" t="str">
        <f>""</f>
        <v/>
      </c>
      <c r="S153" t="str">
        <f>""</f>
        <v/>
      </c>
      <c r="T153" t="str">
        <f>"https://portaletrasparenza.consorziobacchiglione.it/dettagli/attodigara/795/noleggio-vibroinfissore-piantapalo-furukawa-per-lavori-scolo-rialto.html"</f>
        <v>https://portaletrasparenza.consorziobacchiglione.it/dettagli/attodigara/795/noleggio-vibroinfissore-piantapalo-furukawa-per-lavori-scolo-rialto.html</v>
      </c>
      <c r="U153" t="str">
        <f>""</f>
        <v/>
      </c>
      <c r="V153">
        <f>(SUBSTITUTE(Tabella1[[#This Row],[Importo di aggiudicazione]],".",","))-(SUBSTITUTE(  SUBSTITUTE(          SUBSTITUTE(Tabella1[[#This Row],[Dettaglio somme liquidate]],Tabella1[[#This Row],[CIG]]&amp;": [",""),"€ ]",""),".",","))</f>
        <v>1600</v>
      </c>
    </row>
    <row r="154" spans="1:22" x14ac:dyDescent="0.3">
      <c r="A154" t="str">
        <f>"Affidamento"</f>
        <v>Affidamento</v>
      </c>
      <c r="B154" t="str">
        <f>"Fornitura materiale di ferramenta per C.O.S.Margherita e Idrovora di Lova."</f>
        <v>Fornitura materiale di ferramenta per C.O.S.Margherita e Idrovora di Lova.</v>
      </c>
      <c r="C154" t="str">
        <f>"Z6E1BD67D9"</f>
        <v>Z6E1BD67D9</v>
      </c>
      <c r="D154" t="str">
        <f>"04/11/2021"</f>
        <v>04/11/2021</v>
      </c>
      <c r="E154" t="str">
        <f>""</f>
        <v/>
      </c>
      <c r="F154" t="str">
        <f>""</f>
        <v/>
      </c>
      <c r="G154" t="str">
        <f>"413.25"</f>
        <v>413.25</v>
      </c>
      <c r="H154" t="str">
        <f>"Consorzio di bonifica Bacchiglione"</f>
        <v>Consorzio di bonifica Bacchiglione</v>
      </c>
      <c r="I154" t="str">
        <f>"92223390284"</f>
        <v>92223390284</v>
      </c>
      <c r="J154" t="str">
        <f>"23-AFFIDAMENTO DIRETTO"</f>
        <v>23-AFFIDAMENTO DIRETTO</v>
      </c>
      <c r="K154" t="str">
        <f>"03/11/2021"</f>
        <v>03/11/2021</v>
      </c>
      <c r="L154" t="str">
        <f>"04/01/2021"</f>
        <v>04/01/2021</v>
      </c>
      <c r="M154" t="str">
        <f>""</f>
        <v/>
      </c>
      <c r="N154" t="str">
        <f>"Gollo Giovanni Via Vallona 65 35020 Conche di Codevigo PD"</f>
        <v>Gollo Giovanni Via Vallona 65 35020 Conche di Codevigo PD</v>
      </c>
      <c r="O154" t="str">
        <f>"Gollo Giovanni Via Vallona 65 35020 Conche di Codevigo PD"</f>
        <v>Gollo Giovanni Via Vallona 65 35020 Conche di Codevigo PD</v>
      </c>
      <c r="P154" t="s">
        <v>353</v>
      </c>
      <c r="Q154" t="str">
        <f>""</f>
        <v/>
      </c>
      <c r="R154" t="str">
        <f>""</f>
        <v/>
      </c>
      <c r="S154" t="str">
        <f>""</f>
        <v/>
      </c>
      <c r="T154" t="str">
        <f>"https://portaletrasparenza.consorziobacchiglione.it/dettagli/attodigara/868/fornitura-materiale-di-ferramenta-per-c-o-s-margherita-e-idrovora-di-lova.html"</f>
        <v>https://portaletrasparenza.consorziobacchiglione.it/dettagli/attodigara/868/fornitura-materiale-di-ferramenta-per-c-o-s-margherita-e-idrovora-di-lova.html</v>
      </c>
      <c r="U154" t="str">
        <f>""</f>
        <v/>
      </c>
      <c r="V1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5" spans="1:22" x14ac:dyDescent="0.3">
      <c r="A155" t="str">
        <f>"Affidamento"</f>
        <v>Affidamento</v>
      </c>
      <c r="B155" t="str">
        <f>"Riparazione sensore FMU43 Idrovora Voltabarozzo."</f>
        <v>Riparazione sensore FMU43 Idrovora Voltabarozzo.</v>
      </c>
      <c r="C155" t="str">
        <f>"Z841BD9BDC"</f>
        <v>Z841BD9BDC</v>
      </c>
      <c r="D155" t="str">
        <f>"04/11/2021"</f>
        <v>04/11/2021</v>
      </c>
      <c r="E155" t="str">
        <f>""</f>
        <v/>
      </c>
      <c r="F155" t="str">
        <f>""</f>
        <v/>
      </c>
      <c r="G155" t="str">
        <f>"411.00"</f>
        <v>411.00</v>
      </c>
      <c r="H155" t="str">
        <f>"Consorzio di bonifica Bacchiglione"</f>
        <v>Consorzio di bonifica Bacchiglione</v>
      </c>
      <c r="I155" t="str">
        <f>"92223390284"</f>
        <v>92223390284</v>
      </c>
      <c r="J155" t="str">
        <f>"23-AFFIDAMENTO DIRETTO"</f>
        <v>23-AFFIDAMENTO DIRETTO</v>
      </c>
      <c r="K155" t="str">
        <f>"03/11/2021"</f>
        <v>03/11/2021</v>
      </c>
      <c r="L155" t="str">
        <f>"20/01/2021"</f>
        <v>20/01/2021</v>
      </c>
      <c r="M155" t="str">
        <f>""</f>
        <v/>
      </c>
      <c r="N155" t="str">
        <f>"Endress + Hauser Italia S.p.A. Via Fratelli di Dio 7 20063 Cernusco S-N MI"</f>
        <v>Endress + Hauser Italia S.p.A. Via Fratelli di Dio 7 20063 Cernusco S-N MI</v>
      </c>
      <c r="O155" t="str">
        <f>"Endress + Hauser Italia S.p.A. Via Fratelli di Dio 7 20063 Cernusco S-N MI"</f>
        <v>Endress + Hauser Italia S.p.A. Via Fratelli di Dio 7 20063 Cernusco S-N MI</v>
      </c>
      <c r="P155" t="str">
        <f>"Z841BD9BDC: [411.00€ ]"</f>
        <v>Z841BD9BDC: [411.00€ ]</v>
      </c>
      <c r="Q155" t="str">
        <f>""</f>
        <v/>
      </c>
      <c r="R155" t="str">
        <f>""</f>
        <v/>
      </c>
      <c r="S155" t="str">
        <f>""</f>
        <v/>
      </c>
      <c r="T155" t="str">
        <f>"https://portaletrasparenza.consorziobacchiglione.it/dettagli/attodigara/872/riparazione-sensore-fmu43-idrovora-voltabarozzo.html"</f>
        <v>https://portaletrasparenza.consorziobacchiglione.it/dettagli/attodigara/872/riparazione-sensore-fmu43-idrovora-voltabarozzo.html</v>
      </c>
      <c r="U155" t="str">
        <f>""</f>
        <v/>
      </c>
      <c r="V1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6" spans="1:22" x14ac:dyDescent="0.3">
      <c r="A156" t="str">
        <f>"Affidamento"</f>
        <v>Affidamento</v>
      </c>
      <c r="B156" t="str">
        <f>"Fornitura materiale elettrico per sgrigliatore scolo Orsaro (ZIP)."</f>
        <v>Fornitura materiale elettrico per sgrigliatore scolo Orsaro (ZIP).</v>
      </c>
      <c r="C156" t="str">
        <f>"ZD61BD9973"</f>
        <v>ZD61BD9973</v>
      </c>
      <c r="D156" t="str">
        <f>"04/11/2021"</f>
        <v>04/11/2021</v>
      </c>
      <c r="E156" t="str">
        <f>""</f>
        <v/>
      </c>
      <c r="F156" t="str">
        <f>""</f>
        <v/>
      </c>
      <c r="G156" t="str">
        <f>"2904.88"</f>
        <v>2904.88</v>
      </c>
      <c r="H156" t="str">
        <f>"Consorzio di bonifica Bacchiglione"</f>
        <v>Consorzio di bonifica Bacchiglione</v>
      </c>
      <c r="I156" t="str">
        <f>"92223390284"</f>
        <v>92223390284</v>
      </c>
      <c r="J156" t="str">
        <f>"23-AFFIDAMENTO DIRETTO"</f>
        <v>23-AFFIDAMENTO DIRETTO</v>
      </c>
      <c r="K156" t="str">
        <f>"03/11/2021"</f>
        <v>03/11/2021</v>
      </c>
      <c r="L156" t="str">
        <f>"15/11/2021"</f>
        <v>15/11/2021</v>
      </c>
      <c r="M156" t="str">
        <f>""</f>
        <v/>
      </c>
      <c r="N156" t="str">
        <f>"Marchiol S.P.A. Viale della Repubblica 41 31020 sede legale Villorba TV"</f>
        <v>Marchiol S.P.A. Viale della Repubblica 41 31020 sede legale Villorba TV</v>
      </c>
      <c r="O156" t="str">
        <f>"Marchiol S.P.A. Viale della Repubblica 41 31020 sede legale Villorba TV"</f>
        <v>Marchiol S.P.A. Viale della Repubblica 41 31020 sede legale Villorba TV</v>
      </c>
      <c r="P156" t="str">
        <f>"ZD61BD9973: [2904.88€ ]"</f>
        <v>ZD61BD9973: [2904.88€ ]</v>
      </c>
      <c r="Q156" t="str">
        <f>""</f>
        <v/>
      </c>
      <c r="R156" t="str">
        <f>""</f>
        <v/>
      </c>
      <c r="S156" t="str">
        <f>""</f>
        <v/>
      </c>
      <c r="T156" t="str">
        <f>"https://portaletrasparenza.consorziobacchiglione.it/dettagli/attodigara/871/fornitura-materiale-elettrico-per-sgrigliatore-scolo-orsaro-zip.html"</f>
        <v>https://portaletrasparenza.consorziobacchiglione.it/dettagli/attodigara/871/fornitura-materiale-elettrico-per-sgrigliatore-scolo-orsaro-zip.html</v>
      </c>
      <c r="U156" t="str">
        <f>""</f>
        <v/>
      </c>
      <c r="V15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7" spans="1:22" x14ac:dyDescent="0.3">
      <c r="A157" t="str">
        <f>"Affidamento"</f>
        <v>Affidamento</v>
      </c>
      <c r="B157" t="str">
        <f>"Fornitura materiale elettrico per sgrigliatore scolo Orsaro (ZIP)."</f>
        <v>Fornitura materiale elettrico per sgrigliatore scolo Orsaro (ZIP).</v>
      </c>
      <c r="C157" t="str">
        <f>"Z621BD7061"</f>
        <v>Z621BD7061</v>
      </c>
      <c r="D157" t="str">
        <f>"04/11/2021"</f>
        <v>04/11/2021</v>
      </c>
      <c r="E157" t="str">
        <f>""</f>
        <v/>
      </c>
      <c r="F157" t="str">
        <f>""</f>
        <v/>
      </c>
      <c r="G157" t="str">
        <f>"650.85"</f>
        <v>650.85</v>
      </c>
      <c r="H157" t="str">
        <f>"Consorzio di bonifica Bacchiglione"</f>
        <v>Consorzio di bonifica Bacchiglione</v>
      </c>
      <c r="I157" t="str">
        <f>"92223390284"</f>
        <v>92223390284</v>
      </c>
      <c r="J157" t="str">
        <f>"23-AFFIDAMENTO DIRETTO"</f>
        <v>23-AFFIDAMENTO DIRETTO</v>
      </c>
      <c r="K157" t="str">
        <f>"03/11/2021"</f>
        <v>03/11/2021</v>
      </c>
      <c r="L157" t="str">
        <f>"03/01/2021"</f>
        <v>03/01/2021</v>
      </c>
      <c r="M157" t="str">
        <f>""</f>
        <v/>
      </c>
      <c r="N157" t="str">
        <f>"Sonepar Italia Nord S.p.A. Riviera Maestri del lavoro 24 35127 Padova"</f>
        <v>Sonepar Italia Nord S.p.A. Riviera Maestri del lavoro 24 35127 Padova</v>
      </c>
      <c r="O157" t="str">
        <f>"Sonepar Italia Nord S.p.A. Riviera Maestri del lavoro 24 35127 Padova"</f>
        <v>Sonepar Italia Nord S.p.A. Riviera Maestri del lavoro 24 35127 Padova</v>
      </c>
      <c r="P157" t="str">
        <f>"Z621BD7061: [650.85€ ]"</f>
        <v>Z621BD7061: [650.85€ ]</v>
      </c>
      <c r="Q157" t="str">
        <f>""</f>
        <v/>
      </c>
      <c r="R157" t="str">
        <f>""</f>
        <v/>
      </c>
      <c r="S157" t="str">
        <f>""</f>
        <v/>
      </c>
      <c r="T157" t="str">
        <f>"https://portaletrasparenza.consorziobacchiglione.it/dettagli/attodigara/870/fornitura-materiale-elettrico-per-sgrigliatore-scolo-orsaro-zip.html"</f>
        <v>https://portaletrasparenza.consorziobacchiglione.it/dettagli/attodigara/870/fornitura-materiale-elettrico-per-sgrigliatore-scolo-orsaro-zip.html</v>
      </c>
      <c r="U157" t="str">
        <f>""</f>
        <v/>
      </c>
      <c r="V15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8" spans="1:22" x14ac:dyDescent="0.3">
      <c r="A158" t="str">
        <f>"Affidamento"</f>
        <v>Affidamento</v>
      </c>
      <c r="B158" t="str">
        <f>"Fornitura memoria Ram 4GB e Disk 2,5\' 240GB per computer area Manutenzione."</f>
        <v>Fornitura memoria Ram 4GB e Disk 2,5\' 240GB per computer area Manutenzione.</v>
      </c>
      <c r="C158" t="str">
        <f>"ZF31BD6C52"</f>
        <v>ZF31BD6C52</v>
      </c>
      <c r="D158" t="str">
        <f>"04/11/2021"</f>
        <v>04/11/2021</v>
      </c>
      <c r="E158" t="str">
        <f>""</f>
        <v/>
      </c>
      <c r="F158" t="str">
        <f>""</f>
        <v/>
      </c>
      <c r="G158" t="str">
        <f>"260.00"</f>
        <v>260.00</v>
      </c>
      <c r="H158" t="str">
        <f>"Consorzio di bonifica Bacchiglione"</f>
        <v>Consorzio di bonifica Bacchiglione</v>
      </c>
      <c r="I158" t="str">
        <f>"92223390284"</f>
        <v>92223390284</v>
      </c>
      <c r="J158" t="str">
        <f>"23-AFFIDAMENTO DIRETTO"</f>
        <v>23-AFFIDAMENTO DIRETTO</v>
      </c>
      <c r="K158" t="str">
        <f>"03/11/2021"</f>
        <v>03/11/2021</v>
      </c>
      <c r="L158" t="str">
        <f>"03/01/2021"</f>
        <v>03/01/2021</v>
      </c>
      <c r="M158" t="str">
        <f>""</f>
        <v/>
      </c>
      <c r="N158" t="str">
        <f>"TPH Elettronica s.a.s. Via N. Pizzolo 51A 35132 Padova"</f>
        <v>TPH Elettronica s.a.s. Via N. Pizzolo 51A 35132 Padova</v>
      </c>
      <c r="O158" t="str">
        <f>"TPH Elettronica s.a.s. Via N. Pizzolo 51A 35132 Padova"</f>
        <v>TPH Elettronica s.a.s. Via N. Pizzolo 51A 35132 Padova</v>
      </c>
      <c r="P158" t="str">
        <f>"ZF31BD6C52: [260.00€ ]"</f>
        <v>ZF31BD6C52: [260.00€ ]</v>
      </c>
      <c r="Q158" t="str">
        <f>""</f>
        <v/>
      </c>
      <c r="R158" t="str">
        <f>""</f>
        <v/>
      </c>
      <c r="S158" t="str">
        <f>""</f>
        <v/>
      </c>
      <c r="T158" t="str">
        <f>"https://portaletrasparenza.consorziobacchiglione.it/dettagli/attodigara/869/fornitura-memoria-ram-4gb-e-disk-2-5-240gb-per-computer-area-manutenzione.html"</f>
        <v>https://portaletrasparenza.consorziobacchiglione.it/dettagli/attodigara/869/fornitura-memoria-ram-4gb-e-disk-2-5-240gb-per-computer-area-manutenzione.html</v>
      </c>
      <c r="U158" t="str">
        <f>""</f>
        <v/>
      </c>
      <c r="V1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9" spans="1:22" x14ac:dyDescent="0.3">
      <c r="A159" t="str">
        <f>"Affidamento"</f>
        <v>Affidamento</v>
      </c>
      <c r="B159" t="str">
        <f>"Indagine VRB su aree individuate per la costruzione dei nuovi sostegni sullo scolo Schilla - Processo ID 018-20."</f>
        <v>Indagine VRB su aree individuate per la costruzione dei nuovi sostegni sullo scolo Schilla - Processo ID 018-20.</v>
      </c>
      <c r="C159" t="str">
        <f>"Z9733BA6D1"</f>
        <v>Z9733BA6D1</v>
      </c>
      <c r="D159" t="str">
        <f>"03/11/2021"</f>
        <v>03/11/2021</v>
      </c>
      <c r="E159" t="str">
        <f>""</f>
        <v/>
      </c>
      <c r="F159" t="str">
        <f>""</f>
        <v/>
      </c>
      <c r="G159" t="str">
        <f>"3500.00"</f>
        <v>3500.00</v>
      </c>
      <c r="H159" t="str">
        <f>"Consorzio di bonifica Bacchiglione"</f>
        <v>Consorzio di bonifica Bacchiglione</v>
      </c>
      <c r="I159" t="str">
        <f>"92223390284"</f>
        <v>92223390284</v>
      </c>
      <c r="J159" t="str">
        <f>"23-AFFIDAMENTO DIRETTO"</f>
        <v>23-AFFIDAMENTO DIRETTO</v>
      </c>
      <c r="K159" t="str">
        <f>"03/11/2021"</f>
        <v>03/11/2021</v>
      </c>
      <c r="L159" t="str">
        <f>"02/03/2022"</f>
        <v>02/03/2022</v>
      </c>
      <c r="M159" t="str">
        <f>""</f>
        <v/>
      </c>
      <c r="N159" t="str">
        <f>"SNB Service s.r.l."</f>
        <v>SNB Service s.r.l.</v>
      </c>
      <c r="O159" t="str">
        <f>"SNB Service s.r.l."</f>
        <v>SNB Service s.r.l.</v>
      </c>
      <c r="P159" t="str">
        <f>"Z9733BA6D1: [3500.00€ ]"</f>
        <v>Z9733BA6D1: [3500.00€ ]</v>
      </c>
      <c r="Q159" t="str">
        <f>""</f>
        <v/>
      </c>
      <c r="R159" t="str">
        <f>""</f>
        <v/>
      </c>
      <c r="S159" t="str">
        <f>""</f>
        <v/>
      </c>
      <c r="T159" t="str">
        <f>"https://portaletrasparenza.consorziobacchiglione.it/dettagli/attodigara/7255/indagine-vrb-su-aree-individuate-per-la-costruzione-dei-nuovi-sostegni-sullo-scolo-schilla-processo-id-018-20.html"</f>
        <v>https://portaletrasparenza.consorziobacchiglione.it/dettagli/attodigara/7255/indagine-vrb-su-aree-individuate-per-la-costruzione-dei-nuovi-sostegni-sullo-scolo-schilla-processo-id-018-20.html</v>
      </c>
      <c r="U159" t="str">
        <f>"https://portaletrasparenza.consorziobacchiglione.it/download/attodigara/7255/63ac45e360e57.PDF"</f>
        <v>https://portaletrasparenza.consorziobacchiglione.it/download/attodigara/7255/63ac45e360e57.PDF</v>
      </c>
      <c r="V15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0" spans="1:22" x14ac:dyDescent="0.3">
      <c r="A160" t="str">
        <f>"Affidamento"</f>
        <v>Affidamento</v>
      </c>
      <c r="B160" t="str">
        <f>"Prelievo ed analisi chimiche su campioni sedimento presso scolo Noventana Prolungamento e scolo Montan"</f>
        <v>Prelievo ed analisi chimiche su campioni sedimento presso scolo Noventana Prolungamento e scolo Montan</v>
      </c>
      <c r="C160" t="str">
        <f>"ZD333AE721"</f>
        <v>ZD333AE721</v>
      </c>
      <c r="D160" t="str">
        <f>"04/11/2021"</f>
        <v>04/11/2021</v>
      </c>
      <c r="E160" t="str">
        <f>""</f>
        <v/>
      </c>
      <c r="F160" t="str">
        <f>""</f>
        <v/>
      </c>
      <c r="G160" t="str">
        <f>"2051.00"</f>
        <v>2051.00</v>
      </c>
      <c r="H160" t="str">
        <f>"Consorzio di bonifica Bacchiglione"</f>
        <v>Consorzio di bonifica Bacchiglione</v>
      </c>
      <c r="I160" t="str">
        <f>"92223390284"</f>
        <v>92223390284</v>
      </c>
      <c r="J160" t="str">
        <f>"23-AFFIDAMENTO DIRETTO"</f>
        <v>23-AFFIDAMENTO DIRETTO</v>
      </c>
      <c r="K160" t="str">
        <f>"03/11/2021"</f>
        <v>03/11/2021</v>
      </c>
      <c r="L160" t="str">
        <f>"28/12/2021"</f>
        <v>28/12/2021</v>
      </c>
      <c r="M160" t="str">
        <f>""</f>
        <v/>
      </c>
      <c r="N160" t="str">
        <f>"Geologia Tecnica sas di Vorlicek P.A. E C. Via Martiri della Libertà 29 35042 Este PD"</f>
        <v>Geologia Tecnica sas di Vorlicek P.A. E C. Via Martiri della Libertà 29 35042 Este PD</v>
      </c>
      <c r="O160" t="str">
        <f>"Geologia Tecnica sas di Vorlicek P.A. E C. Via Martiri della Libertà 29 35042 Este PD"</f>
        <v>Geologia Tecnica sas di Vorlicek P.A. E C. Via Martiri della Libertà 29 35042 Este PD</v>
      </c>
      <c r="P160" t="s">
        <v>258</v>
      </c>
      <c r="Q160" t="str">
        <f>""</f>
        <v/>
      </c>
      <c r="R160" t="str">
        <f>""</f>
        <v/>
      </c>
      <c r="S160" t="str">
        <f>""</f>
        <v/>
      </c>
      <c r="T160" t="str">
        <f>"https://portaletrasparenza.consorziobacchiglione.it/dettagli/attodigara/7258/prelievo-ed-analisi-chimiche-su-campioni-sedimento-presso-scolo-noventana-prolungamento-e-scolo-montan.html"</f>
        <v>https://portaletrasparenza.consorziobacchiglione.it/dettagli/attodigara/7258/prelievo-ed-analisi-chimiche-su-campioni-sedimento-presso-scolo-noventana-prolungamento-e-scolo-montan.html</v>
      </c>
      <c r="U160" t="str">
        <f>"https://portaletrasparenza.consorziobacchiglione.it/download/attodigara/7258/63ac45e4bb7d8.PDF"</f>
        <v>https://portaletrasparenza.consorziobacchiglione.it/download/attodigara/7258/63ac45e4bb7d8.PDF</v>
      </c>
      <c r="V1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1" spans="1:22" x14ac:dyDescent="0.3">
      <c r="A161" t="str">
        <f>"Affidamento"</f>
        <v>Affidamento</v>
      </c>
      <c r="B161" t="str">
        <f>"Fornitura di n.1 terminale per controllo Green Pass in fase di Timbratura da installarsi presso la sede Consortile"</f>
        <v>Fornitura di n.1 terminale per controllo Green Pass in fase di Timbratura da installarsi presso la sede Consortile</v>
      </c>
      <c r="C161" t="str">
        <f>"Z4D3347624"</f>
        <v>Z4D3347624</v>
      </c>
      <c r="D161" t="str">
        <f>"04/11/2021"</f>
        <v>04/11/2021</v>
      </c>
      <c r="E161" t="str">
        <f>""</f>
        <v/>
      </c>
      <c r="F161" t="str">
        <f>""</f>
        <v/>
      </c>
      <c r="G161" t="str">
        <f>"912.50"</f>
        <v>912.50</v>
      </c>
      <c r="H161" t="str">
        <f>"Consorzio di bonifica Bacchiglione"</f>
        <v>Consorzio di bonifica Bacchiglione</v>
      </c>
      <c r="I161" t="str">
        <f>"92223390284"</f>
        <v>92223390284</v>
      </c>
      <c r="J161" t="str">
        <f>"23-AFFIDAMENTO DIRETTO"</f>
        <v>23-AFFIDAMENTO DIRETTO</v>
      </c>
      <c r="K161" t="str">
        <f>"03/11/2021"</f>
        <v>03/11/2021</v>
      </c>
      <c r="L161" t="str">
        <f>"20/01/2022"</f>
        <v>20/01/2022</v>
      </c>
      <c r="M161" t="str">
        <f>""</f>
        <v/>
      </c>
      <c r="N161" t="str">
        <f>"Hunext via A. Volta, 23 - 31030 Casier (TV)"</f>
        <v>Hunext via A. Volta, 23 - 31030 Casier (TV)</v>
      </c>
      <c r="O161" t="str">
        <f>"Hunext via A. Volta, 23 - 31030 Casier (TV)"</f>
        <v>Hunext via A. Volta, 23 - 31030 Casier (TV)</v>
      </c>
      <c r="P161" t="s">
        <v>293</v>
      </c>
      <c r="Q161" t="str">
        <f>""</f>
        <v/>
      </c>
      <c r="R161" t="str">
        <f>""</f>
        <v/>
      </c>
      <c r="S161" t="str">
        <f>""</f>
        <v/>
      </c>
      <c r="T161" t="str">
        <f>"https://portaletrasparenza.consorziobacchiglione.it/dettagli/attodigara/7257/fornitura-di-n-1-terminale-per-controllo-green-pass-in-fase-di-timbratura-da-installarsi-presso-la-sede-consortile.html"</f>
        <v>https://portaletrasparenza.consorziobacchiglione.it/dettagli/attodigara/7257/fornitura-di-n-1-terminale-per-controllo-green-pass-in-fase-di-timbratura-da-installarsi-presso-la-sede-consortile.html</v>
      </c>
      <c r="U161" t="str">
        <f>"https://portaletrasparenza.consorziobacchiglione.it/download/attodigara/7257/63ac45e4828cf.PDF"</f>
        <v>https://portaletrasparenza.consorziobacchiglione.it/download/attodigara/7257/63ac45e4828cf.PDF</v>
      </c>
      <c r="V16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2" spans="1:22" x14ac:dyDescent="0.3">
      <c r="A162" t="str">
        <f>"Affidamento"</f>
        <v>Affidamento</v>
      </c>
      <c r="B162" t="str">
        <f>"Indagini penetrometriche, analisi sismica ed analisi chimiche sui siti localizzati per la costruzione di 2 nuovi sostegni sullo scolo Schilla. - Processo ID 018-20."</f>
        <v>Indagini penetrometriche, analisi sismica ed analisi chimiche sui siti localizzati per la costruzione di 2 nuovi sostegni sullo scolo Schilla. - Processo ID 018-20.</v>
      </c>
      <c r="C162" t="str">
        <f>"Z2133BB9FF"</f>
        <v>Z2133BB9FF</v>
      </c>
      <c r="D162" t="str">
        <f>"11/11/2021"</f>
        <v>11/11/2021</v>
      </c>
      <c r="E162" t="str">
        <f>""</f>
        <v/>
      </c>
      <c r="F162" t="str">
        <f>""</f>
        <v/>
      </c>
      <c r="G162" t="str">
        <f>"1490.00"</f>
        <v>1490.00</v>
      </c>
      <c r="H162" t="str">
        <f>"Consorzio di bonifica Bacchiglione"</f>
        <v>Consorzio di bonifica Bacchiglione</v>
      </c>
      <c r="I162" t="str">
        <f>"92223390284"</f>
        <v>92223390284</v>
      </c>
      <c r="J162" t="str">
        <f>"23-AFFIDAMENTO DIRETTO"</f>
        <v>23-AFFIDAMENTO DIRETTO</v>
      </c>
      <c r="K162" t="str">
        <f>"03/11/2021"</f>
        <v>03/11/2021</v>
      </c>
      <c r="L162" t="str">
        <f>"31/12/2021"</f>
        <v>31/12/2021</v>
      </c>
      <c r="M162" t="str">
        <f>""</f>
        <v/>
      </c>
      <c r="N162" t="str">
        <f>"Geologia Tecnica sas di Vorlicek P.A. E C."</f>
        <v>Geologia Tecnica sas di Vorlicek P.A. E C.</v>
      </c>
      <c r="O162" t="str">
        <f>"Geologia Tecnica sas di Vorlicek P.A. E C."</f>
        <v>Geologia Tecnica sas di Vorlicek P.A. E C.</v>
      </c>
      <c r="P162" t="str">
        <f>"Z2133BB9FF: [1280.00€ ]"</f>
        <v>Z2133BB9FF: [1280.00€ ]</v>
      </c>
      <c r="Q162" t="str">
        <f>""</f>
        <v/>
      </c>
      <c r="R162" t="str">
        <f>""</f>
        <v/>
      </c>
      <c r="S162" t="str">
        <f>""</f>
        <v/>
      </c>
      <c r="T162" t="str">
        <f>"https://portaletrasparenza.consorziobacchiglione.it/dettagli/attodigara/7256/indagini-penetrometriche-analisi-sismica-ed-analisi-chimiche-sui-siti-localizzati-per-la-costruzione-di-2-nuovi-sostegni-sullo-scolo-schilla-processo-id-018-20.html"</f>
        <v>https://portaletrasparenza.consorziobacchiglione.it/dettagli/attodigara/7256/indagini-penetrometriche-analisi-sismica-ed-analisi-chimiche-sui-siti-localizzati-per-la-costruzione-di-2-nuovi-sostegni-sullo-scolo-schilla-processo-id-018-20.html</v>
      </c>
      <c r="U162" t="str">
        <f>"https://portaletrasparenza.consorziobacchiglione.it/download/attodigara/7256/63ac45e7c596e.PDF"</f>
        <v>https://portaletrasparenza.consorziobacchiglione.it/download/attodigara/7256/63ac45e7c596e.PDF</v>
      </c>
      <c r="V162">
        <f>(SUBSTITUTE(Tabella1[[#This Row],[Importo di aggiudicazione]],".",","))-(SUBSTITUTE(  SUBSTITUTE(          SUBSTITUTE(Tabella1[[#This Row],[Dettaglio somme liquidate]],Tabella1[[#This Row],[CIG]]&amp;": [",""),"€ ]",""),".",","))</f>
        <v>210</v>
      </c>
    </row>
    <row r="163" spans="1:22" x14ac:dyDescent="0.3">
      <c r="A163" t="str">
        <f>"Affidamento"</f>
        <v>Affidamento</v>
      </c>
      <c r="B163" t="str">
        <f>"Noleggio Midi Escavatore cingolato KX080 per lavori presso scolo Cavaizza di Lova"</f>
        <v>Noleggio Midi Escavatore cingolato KX080 per lavori presso scolo Cavaizza di Lova</v>
      </c>
      <c r="C163" t="str">
        <f>"ZC4343C8B7"</f>
        <v>ZC4343C8B7</v>
      </c>
      <c r="D163" t="str">
        <f>"06/12/2021"</f>
        <v>06/12/2021</v>
      </c>
      <c r="E163" t="str">
        <f>""</f>
        <v/>
      </c>
      <c r="F163" t="str">
        <f>""</f>
        <v/>
      </c>
      <c r="G163" t="str">
        <f>"5200.00"</f>
        <v>5200.00</v>
      </c>
      <c r="H163" t="str">
        <f>"Consorzio di bonifica Bacchiglione"</f>
        <v>Consorzio di bonifica Bacchiglione</v>
      </c>
      <c r="I163" t="str">
        <f>"92223390284"</f>
        <v>92223390284</v>
      </c>
      <c r="J163" t="str">
        <f>"23-AFFIDAMENTO DIRETTO"</f>
        <v>23-AFFIDAMENTO DIRETTO</v>
      </c>
      <c r="K163" t="str">
        <f>"03/12/2021"</f>
        <v>03/12/2021</v>
      </c>
      <c r="L163" t="str">
        <f>"13/12/2021"</f>
        <v>13/12/2021</v>
      </c>
      <c r="M163" t="str">
        <f>""</f>
        <v/>
      </c>
      <c r="N163" t="str">
        <f>"Sorme s.n.c. Via Monache 21 35030 Selvazzano Dentro PD"</f>
        <v>Sorme s.n.c. Via Monache 21 35030 Selvazzano Dentro PD</v>
      </c>
      <c r="O163" t="str">
        <f>"Sorme s.n.c. Via Monache 21 35030 Selvazzano Dentro PD"</f>
        <v>Sorme s.n.c. Via Monache 21 35030 Selvazzano Dentro PD</v>
      </c>
      <c r="P163" t="s">
        <v>187</v>
      </c>
      <c r="Q163" t="str">
        <f>""</f>
        <v/>
      </c>
      <c r="R163" t="str">
        <f>""</f>
        <v/>
      </c>
      <c r="S163" t="str">
        <f>""</f>
        <v/>
      </c>
      <c r="T163" t="str">
        <f>"https://portaletrasparenza.consorziobacchiglione.it/dettagli/attodigara/7335/noleggio-midi-escavatore-cingolato-kx080-per-lavori-presso-scolo-cavaizza-di-lova.html"</f>
        <v>https://portaletrasparenza.consorziobacchiglione.it/dettagli/attodigara/7335/noleggio-midi-escavatore-cingolato-kx080-per-lavori-presso-scolo-cavaizza-di-lova.html</v>
      </c>
      <c r="U163" t="str">
        <f>"https://portaletrasparenza.consorziobacchiglione.it/download/attodigara/7335/63ac45f575c34.PDF"</f>
        <v>https://portaletrasparenza.consorziobacchiglione.it/download/attodigara/7335/63ac45f575c34.PDF</v>
      </c>
      <c r="V1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4" spans="1:22" x14ac:dyDescent="0.3">
      <c r="A164" t="str">
        <f>"Affidamento"</f>
        <v>Affidamento</v>
      </c>
      <c r="B164" t="str">
        <f>"Noleggio dumper cingolato Takeuchi TCR50 per lavori presso scolo Pioga"</f>
        <v>Noleggio dumper cingolato Takeuchi TCR50 per lavori presso scolo Pioga</v>
      </c>
      <c r="C164" t="str">
        <f>"ZBB343C25E"</f>
        <v>ZBB343C25E</v>
      </c>
      <c r="D164" t="str">
        <f>"06/12/2021"</f>
        <v>06/12/2021</v>
      </c>
      <c r="E164" t="str">
        <f>""</f>
        <v/>
      </c>
      <c r="F164" t="str">
        <f>""</f>
        <v/>
      </c>
      <c r="G164" t="str">
        <f>"1850.00"</f>
        <v>1850.00</v>
      </c>
      <c r="H164" t="str">
        <f>"Consorzio di bonifica Bacchiglione"</f>
        <v>Consorzio di bonifica Bacchiglione</v>
      </c>
      <c r="I164" t="str">
        <f>"92223390284"</f>
        <v>92223390284</v>
      </c>
      <c r="J164" t="str">
        <f>"23-AFFIDAMENTO DIRETTO"</f>
        <v>23-AFFIDAMENTO DIRETTO</v>
      </c>
      <c r="K164" t="str">
        <f>"03/12/2021"</f>
        <v>03/12/2021</v>
      </c>
      <c r="L164" t="str">
        <f>"13/12/2021"</f>
        <v>13/12/2021</v>
      </c>
      <c r="M164" t="str">
        <f>""</f>
        <v/>
      </c>
      <c r="N164" t="str">
        <f>"Sorme s.n.c. Via Monache 21 35030 Selvazzano Dentro PD"</f>
        <v>Sorme s.n.c. Via Monache 21 35030 Selvazzano Dentro PD</v>
      </c>
      <c r="O164" t="str">
        <f>"Sorme s.n.c. Via Monache 21 35030 Selvazzano Dentro PD"</f>
        <v>Sorme s.n.c. Via Monache 21 35030 Selvazzano Dentro PD</v>
      </c>
      <c r="P164" t="s">
        <v>219</v>
      </c>
      <c r="Q164" t="str">
        <f>""</f>
        <v/>
      </c>
      <c r="R164" t="str">
        <f>""</f>
        <v/>
      </c>
      <c r="S164" t="str">
        <f>""</f>
        <v/>
      </c>
      <c r="T164" t="str">
        <f>"https://portaletrasparenza.consorziobacchiglione.it/dettagli/attodigara/7334/noleggio-dumper-cingolato-takeuchi-tcr50-per-lavori-presso-scolo-pioga.html"</f>
        <v>https://portaletrasparenza.consorziobacchiglione.it/dettagli/attodigara/7334/noleggio-dumper-cingolato-takeuchi-tcr50-per-lavori-presso-scolo-pioga.html</v>
      </c>
      <c r="U164" t="str">
        <f>"https://portaletrasparenza.consorziobacchiglione.it/download/attodigara/7334/63ac45f53cd8e.PDF"</f>
        <v>https://portaletrasparenza.consorziobacchiglione.it/download/attodigara/7334/63ac45f53cd8e.PDF</v>
      </c>
      <c r="V1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5" spans="1:22" x14ac:dyDescent="0.3">
      <c r="A165" t="str">
        <f>"Affidamento"</f>
        <v>Affidamento</v>
      </c>
      <c r="B165" t="str">
        <f>"Riparazione pneumatico del mezzo targato: FZ296XV"</f>
        <v>Riparazione pneumatico del mezzo targato: FZ296XV</v>
      </c>
      <c r="C165" t="str">
        <f>"ZF3343E803"</f>
        <v>ZF3343E803</v>
      </c>
      <c r="D165" t="str">
        <f>"06/12/2021"</f>
        <v>06/12/2021</v>
      </c>
      <c r="E165" t="str">
        <f>""</f>
        <v/>
      </c>
      <c r="F165" t="str">
        <f>""</f>
        <v/>
      </c>
      <c r="G165" t="str">
        <f>"19.00"</f>
        <v>19.00</v>
      </c>
      <c r="H165" t="str">
        <f>"Consorzio di bonifica Bacchiglione"</f>
        <v>Consorzio di bonifica Bacchiglione</v>
      </c>
      <c r="I165" t="str">
        <f>"92223390284"</f>
        <v>92223390284</v>
      </c>
      <c r="J165" t="str">
        <f>"23-AFFIDAMENTO DIRETTO"</f>
        <v>23-AFFIDAMENTO DIRETTO</v>
      </c>
      <c r="K165" t="str">
        <f>"03/12/2021"</f>
        <v>03/12/2021</v>
      </c>
      <c r="L165" t="str">
        <f>"24/12/2021"</f>
        <v>24/12/2021</v>
      </c>
      <c r="M165" t="str">
        <f>""</f>
        <v/>
      </c>
      <c r="N165" t="str">
        <f>"Ri.gom.ma S.R.L. Via Orlando, 47 - 30173 Campalto (VE)"</f>
        <v>Ri.gom.ma S.R.L. Via Orlando, 47 - 30173 Campalto (VE)</v>
      </c>
      <c r="O165" t="str">
        <f>"Ri.gom.ma S.R.L. Via Orlando, 47 - 30173 Campalto (VE)"</f>
        <v>Ri.gom.ma S.R.L. Via Orlando, 47 - 30173 Campalto (VE)</v>
      </c>
      <c r="P165" t="s">
        <v>349</v>
      </c>
      <c r="Q165" t="str">
        <f>""</f>
        <v/>
      </c>
      <c r="R165" t="str">
        <f>""</f>
        <v/>
      </c>
      <c r="S165" t="str">
        <f>""</f>
        <v/>
      </c>
      <c r="T165" t="str">
        <f>"https://portaletrasparenza.consorziobacchiglione.it/dettagli/attodigara/7337/riparazione-pneumatico-del-mezzo-targato-fz296xv.html"</f>
        <v>https://portaletrasparenza.consorziobacchiglione.it/dettagli/attodigara/7337/riparazione-pneumatico-del-mezzo-targato-fz296xv.html</v>
      </c>
      <c r="U165" t="str">
        <f>"https://portaletrasparenza.consorziobacchiglione.it/download/attodigara/7337/63ac45f5e788a.PDF"</f>
        <v>https://portaletrasparenza.consorziobacchiglione.it/download/attodigara/7337/63ac45f5e788a.PDF</v>
      </c>
      <c r="V1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6" spans="1:22" x14ac:dyDescent="0.3">
      <c r="A166" t="str">
        <f>"Affidamento"</f>
        <v>Affidamento</v>
      </c>
      <c r="B166" t="str">
        <f>"Aggiornamento software GeoSCADA Exp Upgrade, 25k - 50k Pt server telecontrollo"</f>
        <v>Aggiornamento software GeoSCADA Exp Upgrade, 25k - 50k Pt server telecontrollo</v>
      </c>
      <c r="C166" t="str">
        <f>"ZA6343E3ED"</f>
        <v>ZA6343E3ED</v>
      </c>
      <c r="D166" t="str">
        <f>"06/12/2021"</f>
        <v>06/12/2021</v>
      </c>
      <c r="E166" t="str">
        <f>""</f>
        <v/>
      </c>
      <c r="F166" t="str">
        <f>""</f>
        <v/>
      </c>
      <c r="G166" t="str">
        <f>"1680.00"</f>
        <v>1680.00</v>
      </c>
      <c r="H166" t="str">
        <f>"Consorzio di bonifica Bacchiglione"</f>
        <v>Consorzio di bonifica Bacchiglione</v>
      </c>
      <c r="I166" t="str">
        <f>"92223390284"</f>
        <v>92223390284</v>
      </c>
      <c r="J166" t="str">
        <f>"23-AFFIDAMENTO DIRETTO"</f>
        <v>23-AFFIDAMENTO DIRETTO</v>
      </c>
      <c r="K166" t="str">
        <f>"03/12/2021"</f>
        <v>03/12/2021</v>
      </c>
      <c r="L166" t="str">
        <f>"21/01/2022"</f>
        <v>21/01/2022</v>
      </c>
      <c r="M166" t="str">
        <f>""</f>
        <v/>
      </c>
      <c r="N166" t="str">
        <f>"SCHNEIDER ELECTRIC S.P.A. Via Circonvallazione Est, 1 - 24040 Stezzano (BG)"</f>
        <v>SCHNEIDER ELECTRIC S.P.A. Via Circonvallazione Est, 1 - 24040 Stezzano (BG)</v>
      </c>
      <c r="O166" t="str">
        <f>"SCHNEIDER ELECTRIC S.P.A. Via Circonvallazione Est, 1 - 24040 Stezzano (BG)"</f>
        <v>SCHNEIDER ELECTRIC S.P.A. Via Circonvallazione Est, 1 - 24040 Stezzano (BG)</v>
      </c>
      <c r="P166" t="str">
        <f>"ZA6343E3ED: [1680.00€ ]"</f>
        <v>ZA6343E3ED: [1680.00€ ]</v>
      </c>
      <c r="Q166" t="str">
        <f>""</f>
        <v/>
      </c>
      <c r="R166" t="str">
        <f>""</f>
        <v/>
      </c>
      <c r="S166" t="str">
        <f>""</f>
        <v/>
      </c>
      <c r="T166" t="str">
        <f>"https://portaletrasparenza.consorziobacchiglione.it/dettagli/attodigara/7336/aggiornamento-software-geoscada-exp-upgrade-25k-50k-pt-server-telecontrollo.html"</f>
        <v>https://portaletrasparenza.consorziobacchiglione.it/dettagli/attodigara/7336/aggiornamento-software-geoscada-exp-upgrade-25k-50k-pt-server-telecontrollo.html</v>
      </c>
      <c r="U166" t="str">
        <f>"https://portaletrasparenza.consorziobacchiglione.it/download/attodigara/7336/63ac45f5aeb4c.PDF"</f>
        <v>https://portaletrasparenza.consorziobacchiglione.it/download/attodigara/7336/63ac45f5aeb4c.PDF</v>
      </c>
      <c r="V16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7" spans="1:22" x14ac:dyDescent="0.3">
      <c r="A167" t="str">
        <f>"Affidamento"</f>
        <v>Affidamento</v>
      </c>
      <c r="B167" t="str">
        <f>"ID 018-20 Lavori di Completamento dei manufatti relativi alla ricalibratura dello scolo Altipiano. Demolizione e ricostruzione del ponte di via Idrovora in località Santa Margherita di Codevigo (PD)."</f>
        <v>ID 018-20 Lavori di Completamento dei manufatti relativi alla ricalibratura dello scolo Altipiano. Demolizione e ricostruzione del ponte di via Idrovora in località Santa Margherita di Codevigo (PD).</v>
      </c>
      <c r="C167" t="str">
        <f>"8944261DA9"</f>
        <v>8944261DA9</v>
      </c>
      <c r="D167" t="str">
        <f>"22/12/2021"</f>
        <v>22/12/2021</v>
      </c>
      <c r="E167" t="str">
        <f>""</f>
        <v/>
      </c>
      <c r="F167" t="str">
        <f>""</f>
        <v/>
      </c>
      <c r="G167" t="str">
        <f>"347532.00"</f>
        <v>347532.00</v>
      </c>
      <c r="H167" t="str">
        <f>"Consorzio di bonifica Bacchiglione"</f>
        <v>Consorzio di bonifica Bacchiglione</v>
      </c>
      <c r="I167" t="str">
        <f>"92223390284"</f>
        <v>92223390284</v>
      </c>
      <c r="J167" t="str">
        <f>"33-PROCEDURA NEGOZIATA PER AFFIDAMENTI SOTTO SOGLIA"</f>
        <v>33-PROCEDURA NEGOZIATA PER AFFIDAMENTI SOTTO SOGLIA</v>
      </c>
      <c r="K167" t="str">
        <f>"03/12/2021"</f>
        <v>03/12/2021</v>
      </c>
      <c r="L167" t="str">
        <f>"21/12/2021"</f>
        <v>21/12/2021</v>
      </c>
      <c r="M167" t="str">
        <f>""</f>
        <v/>
      </c>
      <c r="N167" t="s">
        <v>22</v>
      </c>
      <c r="O167" t="str">
        <f>"LF Costruzioni s.r.l."</f>
        <v>LF Costruzioni s.r.l.</v>
      </c>
      <c r="P167" t="s">
        <v>129</v>
      </c>
      <c r="Q167" t="str">
        <f>""</f>
        <v/>
      </c>
      <c r="R167" t="str">
        <f>""</f>
        <v/>
      </c>
      <c r="S167" t="str">
        <f>""</f>
        <v/>
      </c>
      <c r="T167" t="s">
        <v>23</v>
      </c>
      <c r="U167" t="s">
        <v>24</v>
      </c>
      <c r="V16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8" spans="1:22" x14ac:dyDescent="0.3">
      <c r="A168" t="str">
        <f>"Affidamento"</f>
        <v>Affidamento</v>
      </c>
      <c r="B168" t="str">
        <f>"Preventivo di riparazione e manutenzione decespugliatore C.O.S.Margherita."</f>
        <v>Preventivo di riparazione e manutenzione decespugliatore C.O.S.Margherita.</v>
      </c>
      <c r="C168" t="str">
        <f>"Z9217E3BE5"</f>
        <v>Z9217E3BE5</v>
      </c>
      <c r="D168" t="str">
        <f>"04/11/2021"</f>
        <v>04/11/2021</v>
      </c>
      <c r="E168" t="str">
        <f>""</f>
        <v/>
      </c>
      <c r="F168" t="str">
        <f>""</f>
        <v/>
      </c>
      <c r="G168" t="str">
        <f>"176.11"</f>
        <v>176.11</v>
      </c>
      <c r="H168" t="str">
        <f>"Consorzio di bonifica Bacchiglione"</f>
        <v>Consorzio di bonifica Bacchiglione</v>
      </c>
      <c r="I168" t="str">
        <f>"92223390284"</f>
        <v>92223390284</v>
      </c>
      <c r="J168" t="str">
        <f>"23-AFFIDAMENTO DIRETTO"</f>
        <v>23-AFFIDAMENTO DIRETTO</v>
      </c>
      <c r="K168" t="str">
        <f>"04/01/2021"</f>
        <v>04/01/2021</v>
      </c>
      <c r="L168" t="str">
        <f>"02/02/2021"</f>
        <v>02/02/2021</v>
      </c>
      <c r="M168" t="str">
        <f>""</f>
        <v/>
      </c>
      <c r="N168" t="str">
        <f>"Frizzarin Riccardo Via Papa Giovanni XXXIII 20 35026 Conselve PD"</f>
        <v>Frizzarin Riccardo Via Papa Giovanni XXXIII 20 35026 Conselve PD</v>
      </c>
      <c r="O168" t="str">
        <f>"Frizzarin Riccardo Via Papa Giovanni XXXIII 20 35026 Conselve PD"</f>
        <v>Frizzarin Riccardo Via Papa Giovanni XXXIII 20 35026 Conselve PD</v>
      </c>
      <c r="P168" t="str">
        <f>"Z9217E3BE5: [176.11€ ]"</f>
        <v>Z9217E3BE5: [176.11€ ]</v>
      </c>
      <c r="Q168" t="str">
        <f>""</f>
        <v/>
      </c>
      <c r="R168" t="str">
        <f>""</f>
        <v/>
      </c>
      <c r="S168" t="str">
        <f>""</f>
        <v/>
      </c>
      <c r="T168" t="str">
        <f>"https://portaletrasparenza.consorziobacchiglione.it/dettagli/attodigara/31/preventivo-di-riparazione-e-manutenzione-decespugliatore-c-o-s-margherita.html"</f>
        <v>https://portaletrasparenza.consorziobacchiglione.it/dettagli/attodigara/31/preventivo-di-riparazione-e-manutenzione-decespugliatore-c-o-s-margherita.html</v>
      </c>
      <c r="U168" t="str">
        <f>""</f>
        <v/>
      </c>
      <c r="V1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9" spans="1:22" x14ac:dyDescent="0.3">
      <c r="A169" t="str">
        <f>"Affidamento"</f>
        <v>Affidamento</v>
      </c>
      <c r="B169" t="str">
        <f>"Consulenza informatico-organizzativa finalizzata al supporto, allo sviluppo e al miglioramento del sistema informativo denominato GDP (Gestione della Documentazione di Processo). - Processo ID 002-16."</f>
        <v>Consulenza informatico-organizzativa finalizzata al supporto, allo sviluppo e al miglioramento del sistema informativo denominato GDP (Gestione della Documentazione di Processo). - Processo ID 002-16.</v>
      </c>
      <c r="C169" t="str">
        <f>"ZB317E3EE8"</f>
        <v>ZB317E3EE8</v>
      </c>
      <c r="D169" t="str">
        <f>"04/11/2021"</f>
        <v>04/11/2021</v>
      </c>
      <c r="E169" t="str">
        <f>""</f>
        <v/>
      </c>
      <c r="F169" t="str">
        <f>""</f>
        <v/>
      </c>
      <c r="G169" t="str">
        <f>"19760.00"</f>
        <v>19760.00</v>
      </c>
      <c r="H169" t="str">
        <f>"Consorzio di bonifica Bacchiglione"</f>
        <v>Consorzio di bonifica Bacchiglione</v>
      </c>
      <c r="I169" t="str">
        <f>"92223390284"</f>
        <v>92223390284</v>
      </c>
      <c r="J169" t="str">
        <f>"23-AFFIDAMENTO DIRETTO"</f>
        <v>23-AFFIDAMENTO DIRETTO</v>
      </c>
      <c r="K169" t="str">
        <f>"04/01/2021"</f>
        <v>04/01/2021</v>
      </c>
      <c r="L169" t="str">
        <f>"15/11/2021"</f>
        <v>15/11/2021</v>
      </c>
      <c r="M169" t="str">
        <f>""</f>
        <v/>
      </c>
      <c r="N169" t="str">
        <f>"Ing. Gianni Furlan"</f>
        <v>Ing. Gianni Furlan</v>
      </c>
      <c r="O169" t="str">
        <f>"Ing. Gianni Furlan"</f>
        <v>Ing. Gianni Furlan</v>
      </c>
      <c r="P169" t="str">
        <f>"ZB317E3EE8: [19760.00€ ]"</f>
        <v>ZB317E3EE8: [19760.00€ ]</v>
      </c>
      <c r="Q169" t="str">
        <f>""</f>
        <v/>
      </c>
      <c r="R169" t="str">
        <f>""</f>
        <v/>
      </c>
      <c r="S169" t="str">
        <f>""</f>
        <v/>
      </c>
      <c r="T169" t="s">
        <v>57</v>
      </c>
      <c r="U169" t="str">
        <f>""</f>
        <v/>
      </c>
      <c r="V16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0" spans="1:22" x14ac:dyDescent="0.3">
      <c r="A170" t="str">
        <f>"Affidamento"</f>
        <v>Affidamento</v>
      </c>
      <c r="B170" t="str">
        <f>"Opere di demolizione completa e ricostruzione del fabbricato ad uso residenziale sede Consorziale."</f>
        <v>Opere di demolizione completa e ricostruzione del fabbricato ad uso residenziale sede Consorziale.</v>
      </c>
      <c r="C170" t="str">
        <f>"ZB9172C419"</f>
        <v>ZB9172C419</v>
      </c>
      <c r="D170" t="str">
        <f>"04/11/2021"</f>
        <v>04/11/2021</v>
      </c>
      <c r="E170" t="str">
        <f>""</f>
        <v/>
      </c>
      <c r="F170" t="str">
        <f>""</f>
        <v/>
      </c>
      <c r="G170" t="str">
        <f>"38682.00"</f>
        <v>38682.00</v>
      </c>
      <c r="H170" t="str">
        <f>"Consorzio di bonifica Bacchiglione"</f>
        <v>Consorzio di bonifica Bacchiglione</v>
      </c>
      <c r="I170" t="str">
        <f>"92223390284"</f>
        <v>92223390284</v>
      </c>
      <c r="J170" t="str">
        <f>"23-AFFIDAMENTO DIRETTO"</f>
        <v>23-AFFIDAMENTO DIRETTO</v>
      </c>
      <c r="K170" t="str">
        <f>"04/01/2021"</f>
        <v>04/01/2021</v>
      </c>
      <c r="L170" t="str">
        <f>"05/10/2021"</f>
        <v>05/10/2021</v>
      </c>
      <c r="M170" t="str">
        <f>""</f>
        <v/>
      </c>
      <c r="N170" t="str">
        <f>"F.lli Pastore S.R.L. Via Pozzoveggiani 34-3 Salboro PD"</f>
        <v>F.lli Pastore S.R.L. Via Pozzoveggiani 34-3 Salboro PD</v>
      </c>
      <c r="O170" t="str">
        <f>"F.lli Pastore S.R.L. Via Pozzoveggiani 34-3 Salboro PD"</f>
        <v>F.lli Pastore S.R.L. Via Pozzoveggiani 34-3 Salboro PD</v>
      </c>
      <c r="P170" t="str">
        <f>"ZB9172C419: [38682.00€ ]"</f>
        <v>ZB9172C419: [38682.00€ ]</v>
      </c>
      <c r="Q170" t="str">
        <f>""</f>
        <v/>
      </c>
      <c r="R170" t="str">
        <f>""</f>
        <v/>
      </c>
      <c r="S170" t="str">
        <f>""</f>
        <v/>
      </c>
      <c r="T170" t="str">
        <f>"https://portaletrasparenza.consorziobacchiglione.it/dettagli/attodigara/29/opere-di-demolizione-completa-e-ricostruzione-del-fabbricato-ad-uso-residenziale-sede-consorziale.html"</f>
        <v>https://portaletrasparenza.consorziobacchiglione.it/dettagli/attodigara/29/opere-di-demolizione-completa-e-ricostruzione-del-fabbricato-ad-uso-residenziale-sede-consorziale.html</v>
      </c>
      <c r="U170" t="str">
        <f>""</f>
        <v/>
      </c>
      <c r="V17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1" spans="1:22" x14ac:dyDescent="0.3">
      <c r="A171" t="str">
        <f>"Affidamento"</f>
        <v>Affidamento</v>
      </c>
      <c r="B171" t="str">
        <f>"Somme in diretta amministrazione completamento ara pilota, lavori di sigillatura giunzioni all'interno della condotta avente DN 1400 - Processo ID 007-03."</f>
        <v>Somme in diretta amministrazione completamento ara pilota, lavori di sigillatura giunzioni all'interno della condotta avente DN 1400 - Processo ID 007-03.</v>
      </c>
      <c r="C171" t="str">
        <f>"Z8717E2843"</f>
        <v>Z8717E2843</v>
      </c>
      <c r="D171" t="str">
        <f>"04/11/2021"</f>
        <v>04/11/2021</v>
      </c>
      <c r="E171" t="str">
        <f>""</f>
        <v/>
      </c>
      <c r="F171" t="str">
        <f>""</f>
        <v/>
      </c>
      <c r="G171" t="str">
        <f>"14962.50"</f>
        <v>14962.50</v>
      </c>
      <c r="H171" t="str">
        <f>"Consorzio di bonifica Bacchiglione"</f>
        <v>Consorzio di bonifica Bacchiglione</v>
      </c>
      <c r="I171" t="str">
        <f>"92223390284"</f>
        <v>92223390284</v>
      </c>
      <c r="J171" t="str">
        <f>"23-AFFIDAMENTO DIRETTO"</f>
        <v>23-AFFIDAMENTO DIRETTO</v>
      </c>
      <c r="K171" t="str">
        <f>"04/01/2021"</f>
        <v>04/01/2021</v>
      </c>
      <c r="L171" t="str">
        <f>"29/01/2021"</f>
        <v>29/01/2021</v>
      </c>
      <c r="M171" t="str">
        <f>""</f>
        <v/>
      </c>
      <c r="N171" t="str">
        <f>"Costruzioni Ing. Carlo Broetto s.r.l. con Unico Socio"</f>
        <v>Costruzioni Ing. Carlo Broetto s.r.l. con Unico Socio</v>
      </c>
      <c r="O171" t="str">
        <f>"Costruzioni Ing. Carlo Broetto s.r.l. con Unico Socio"</f>
        <v>Costruzioni Ing. Carlo Broetto s.r.l. con Unico Socio</v>
      </c>
      <c r="P171" t="str">
        <f>"Z8717E2843: [14962.50€ ]"</f>
        <v>Z8717E2843: [14962.50€ ]</v>
      </c>
      <c r="Q171" t="str">
        <f>""</f>
        <v/>
      </c>
      <c r="R171" t="str">
        <f>""</f>
        <v/>
      </c>
      <c r="S171" t="str">
        <f>""</f>
        <v/>
      </c>
      <c r="T171" t="str">
        <f>"https://portaletrasparenza.consorziobacchiglione.it/dettagli/attodigara/28/somme-in-diretta-amministrazione-completamento-ara-pilota-lavori-di-sigillatura-giunzioni-all-interno-della-condotta-avente-dn-1400-processo-id-007-03.html"</f>
        <v>https://portaletrasparenza.consorziobacchiglione.it/dettagli/attodigara/28/somme-in-diretta-amministrazione-completamento-ara-pilota-lavori-di-sigillatura-giunzioni-all-interno-della-condotta-avente-dn-1400-processo-id-007-03.html</v>
      </c>
      <c r="U171" t="str">
        <f>""</f>
        <v/>
      </c>
      <c r="V17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2" spans="1:22" x14ac:dyDescent="0.3">
      <c r="A172" t="str">
        <f>"Affidamento"</f>
        <v>Affidamento</v>
      </c>
      <c r="B172" t="str">
        <f>"FORNITURA NUOVA LICENZA ACRONIS CYBER BACKUP VIRTUAL HOST E MIGRAZIONE CONFIGURAZIONE PER SEDE CONSORTILE"</f>
        <v>FORNITURA NUOVA LICENZA ACRONIS CYBER BACKUP VIRTUAL HOST E MIGRAZIONE CONFIGURAZIONE PER SEDE CONSORTILE</v>
      </c>
      <c r="C172" t="str">
        <f>"Z032FF0262"</f>
        <v>Z032FF0262</v>
      </c>
      <c r="D172" t="str">
        <f>"05/01/2021"</f>
        <v>05/01/2021</v>
      </c>
      <c r="E172" t="str">
        <f>""</f>
        <v/>
      </c>
      <c r="F172" t="str">
        <f>""</f>
        <v/>
      </c>
      <c r="G172" t="str">
        <f>"1198.00"</f>
        <v>1198.00</v>
      </c>
      <c r="H172" t="str">
        <f>"CONSORZIO DI BONIFICA BACCHIGLIONE"</f>
        <v>CONSORZIO DI BONIFICA BACCHIGLIONE</v>
      </c>
      <c r="I172" t="str">
        <f>"92223390284"</f>
        <v>92223390284</v>
      </c>
      <c r="J172" t="str">
        <f>"23-AFFIDAMENTO DIRETTO"</f>
        <v>23-AFFIDAMENTO DIRETTO</v>
      </c>
      <c r="K172" t="str">
        <f>"04/01/2021"</f>
        <v>04/01/2021</v>
      </c>
      <c r="L172" t="str">
        <f>"27/01/2021"</f>
        <v>27/01/2021</v>
      </c>
      <c r="M172" t="str">
        <f>""</f>
        <v/>
      </c>
      <c r="N172" t="str">
        <f>"TPH Elettronica s.a.s. Via N. Pizzolo 51A 35132 Padova | TPH ELETTRONICA SAS DI MICHELE PASTORELLO &amp; C."</f>
        <v>TPH Elettronica s.a.s. Via N. Pizzolo 51A 35132 Padova | TPH ELETTRONICA SAS DI MICHELE PASTORELLO &amp; C.</v>
      </c>
      <c r="O172" t="str">
        <f>"TPH ELETTRONICA SAS DI MICHELE PASTORELLO &amp; C."</f>
        <v>TPH ELETTRONICA SAS DI MICHELE PASTORELLO &amp; C.</v>
      </c>
      <c r="P172" t="str">
        <f>"Z032FF0262: [1198.00€ ]"</f>
        <v>Z032FF0262: [1198.00€ ]</v>
      </c>
      <c r="Q172" t="str">
        <f>""</f>
        <v/>
      </c>
      <c r="R172" t="str">
        <f>""</f>
        <v/>
      </c>
      <c r="S172" t="str">
        <f>""</f>
        <v/>
      </c>
      <c r="T172" t="str">
        <f>"https://portaletrasparenza.consorziobacchiglione.it/dettagli/attodigara/4094/fornitura-nuova-licenza-acronis-cyber-backup-virtual-host-e-migrazione-configurazione-per-sede-consortile.html"</f>
        <v>https://portaletrasparenza.consorziobacchiglione.it/dettagli/attodigara/4094/fornitura-nuova-licenza-acronis-cyber-backup-virtual-host-e-migrazione-configurazione-per-sede-consortile.html</v>
      </c>
      <c r="U172" t="str">
        <f>"https://portaletrasparenza.consorziobacchiglione.it/download/attodigara/4094/62a209465fd67.PDF"</f>
        <v>https://portaletrasparenza.consorziobacchiglione.it/download/attodigara/4094/62a209465fd67.PDF</v>
      </c>
      <c r="V17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3" spans="1:22" x14ac:dyDescent="0.3">
      <c r="A173" t="str">
        <f>"Affidamento"</f>
        <v>Affidamento</v>
      </c>
      <c r="B173" t="str">
        <f>"Fornitura di nuova copertura delle Vasche presso Impianto di Voltabarozzo, complete di parapetti zincati necessari al fine di impedire il traffico veicolare"</f>
        <v>Fornitura di nuova copertura delle Vasche presso Impianto di Voltabarozzo, complete di parapetti zincati necessari al fine di impedire il traffico veicolare</v>
      </c>
      <c r="C173" t="str">
        <f>"Z293013A83"</f>
        <v>Z293013A83</v>
      </c>
      <c r="D173" t="str">
        <f>"05/01/2021"</f>
        <v>05/01/2021</v>
      </c>
      <c r="E173" t="str">
        <f>""</f>
        <v/>
      </c>
      <c r="F173" t="str">
        <f>""</f>
        <v/>
      </c>
      <c r="G173" t="str">
        <f>"19750.00"</f>
        <v>19750.00</v>
      </c>
      <c r="H173" t="str">
        <f>"Consorzio di bonifica Bacchiglione"</f>
        <v>Consorzio di bonifica Bacchiglione</v>
      </c>
      <c r="I173" t="str">
        <f>"92223390284"</f>
        <v>92223390284</v>
      </c>
      <c r="J173" t="str">
        <f>"23-AFFIDAMENTO DIRETTO"</f>
        <v>23-AFFIDAMENTO DIRETTO</v>
      </c>
      <c r="K173" t="str">
        <f>"04/01/2021"</f>
        <v>04/01/2021</v>
      </c>
      <c r="L173" t="str">
        <f>"25/03/2021"</f>
        <v>25/03/2021</v>
      </c>
      <c r="M173" t="str">
        <f>""</f>
        <v/>
      </c>
      <c r="N173" t="str">
        <f>"O.ME.CA. di Cavalletto Paolo S.R.L. Via Maestri del Lavoro 19 30034 Gambarare di Mira VE"</f>
        <v>O.ME.CA. di Cavalletto Paolo S.R.L. Via Maestri del Lavoro 19 30034 Gambarare di Mira VE</v>
      </c>
      <c r="O173" t="str">
        <f>"O.ME.CA. di Cavalletto Paolo S.R.L. Via Maestri del Lavoro 19 30034 Gambarare di Mira VE"</f>
        <v>O.ME.CA. di Cavalletto Paolo S.R.L. Via Maestri del Lavoro 19 30034 Gambarare di Mira VE</v>
      </c>
      <c r="P173" t="str">
        <f>"Z293013A83: [19750.00€ ]"</f>
        <v>Z293013A83: [19750.00€ ]</v>
      </c>
      <c r="Q173" t="str">
        <f>""</f>
        <v/>
      </c>
      <c r="R173" t="str">
        <f>""</f>
        <v/>
      </c>
      <c r="S173" t="str">
        <f>""</f>
        <v/>
      </c>
      <c r="T173" t="str">
        <f>"https://portaletrasparenza.consorziobacchiglione.it/dettagli/attodigara/6513/fornitura-di-nuova-copertura-delle-vasche-presso-impianto-di-voltabarozzo-complete-di-parapetti-zincati-necessari-al-fine-di-impedire-il-traffico-veicolare.html"</f>
        <v>https://portaletrasparenza.consorziobacchiglione.it/dettagli/attodigara/6513/fornitura-di-nuova-copertura-delle-vasche-presso-impianto-di-voltabarozzo-complete-di-parapetti-zincati-necessari-al-fine-di-impedire-il-traffico-veicolare.html</v>
      </c>
      <c r="U173" t="str">
        <f>"https://portaletrasparenza.consorziobacchiglione.it/download/attodigara/6513/63ac454116d99.PDF"</f>
        <v>https://portaletrasparenza.consorziobacchiglione.it/download/attodigara/6513/63ac454116d99.PDF</v>
      </c>
      <c r="V17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4" spans="1:22" x14ac:dyDescent="0.3">
      <c r="A174" t="str">
        <f>"Affidamento"</f>
        <v>Affidamento</v>
      </c>
      <c r="B174" t="str">
        <f>"Lavori di automazione Idrovora Saracinesca, Sifone Terradura e Sostegno Terradura I"</f>
        <v>Lavori di automazione Idrovora Saracinesca, Sifone Terradura e Sostegno Terradura I</v>
      </c>
      <c r="C174" t="str">
        <f>"ZC43013730"</f>
        <v>ZC43013730</v>
      </c>
      <c r="D174" t="str">
        <f>"05/01/2021"</f>
        <v>05/01/2021</v>
      </c>
      <c r="E174" t="str">
        <f>""</f>
        <v/>
      </c>
      <c r="F174" t="str">
        <f>""</f>
        <v/>
      </c>
      <c r="G174" t="str">
        <f>"39334.00"</f>
        <v>39334.00</v>
      </c>
      <c r="H174" t="str">
        <f>"Consorzio di bonifica Bacchiglione"</f>
        <v>Consorzio di bonifica Bacchiglione</v>
      </c>
      <c r="I174" t="str">
        <f>"92223390284"</f>
        <v>92223390284</v>
      </c>
      <c r="J174" t="str">
        <f>"23-AFFIDAMENTO DIRETTO"</f>
        <v>23-AFFIDAMENTO DIRETTO</v>
      </c>
      <c r="K174" t="str">
        <f>"04/01/2021"</f>
        <v>04/01/2021</v>
      </c>
      <c r="L174" t="str">
        <f>"30/11/2021"</f>
        <v>30/11/2021</v>
      </c>
      <c r="M174" t="str">
        <f>""</f>
        <v/>
      </c>
      <c r="N174" t="str">
        <f>"A.S.P. Tecnologie srl Via Padre Nicolini 29 35013 Cittadella PD | CTP Perozzo Impianti s.r.l. Viale dell'industria, 6 z.i. 35013 Cittadella (PD) | Tecnerga s.r.l. Via Roma n. 151 - 38083 Borgo Chiese (TN)"</f>
        <v>A.S.P. Tecnologie srl Via Padre Nicolini 29 35013 Cittadella PD | CTP Perozzo Impianti s.r.l. Viale dell'industria, 6 z.i. 35013 Cittadella (PD) | Tecnerga s.r.l. Via Roma n. 151 - 38083 Borgo Chiese (TN)</v>
      </c>
      <c r="O174" t="str">
        <f>"A.S.P. Tecnologie srl Via Padre Nicolini 29 35013 Cittadella PD"</f>
        <v>A.S.P. Tecnologie srl Via Padre Nicolini 29 35013 Cittadella PD</v>
      </c>
      <c r="P174" t="str">
        <f>"ZC43013730: [39334.00€ ]"</f>
        <v>ZC43013730: [39334.00€ ]</v>
      </c>
      <c r="Q174" t="str">
        <f>""</f>
        <v/>
      </c>
      <c r="R174" t="str">
        <f>""</f>
        <v/>
      </c>
      <c r="S174" t="str">
        <f>""</f>
        <v/>
      </c>
      <c r="T174" t="str">
        <f>"https://portaletrasparenza.consorziobacchiglione.it/dettagli/attodigara/6512/lavori-di-automazione-idrovora-saracinesca-sifone-terradura-e-sostegno-terradura-i.html"</f>
        <v>https://portaletrasparenza.consorziobacchiglione.it/dettagli/attodigara/6512/lavori-di-automazione-idrovora-saracinesca-sifone-terradura-e-sostegno-terradura-i.html</v>
      </c>
      <c r="U174" t="str">
        <f>"https://portaletrasparenza.consorziobacchiglione.it/download/attodigara/6512/63ac4540d2407.PDF"</f>
        <v>https://portaletrasparenza.consorziobacchiglione.it/download/attodigara/6512/63ac4540d2407.PDF</v>
      </c>
      <c r="V17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5" spans="1:22" x14ac:dyDescent="0.3">
      <c r="A175" t="str">
        <f>"Affidamento"</f>
        <v>Affidamento</v>
      </c>
      <c r="B175" t="str">
        <f>"Lavori di asfaltatura ponte in Via Boligo a Campolongo Maggiore"</f>
        <v>Lavori di asfaltatura ponte in Via Boligo a Campolongo Maggiore</v>
      </c>
      <c r="C175" t="str">
        <f>"ZC230133B5"</f>
        <v>ZC230133B5</v>
      </c>
      <c r="D175" t="str">
        <f>"07/01/2021"</f>
        <v>07/01/2021</v>
      </c>
      <c r="E175" t="str">
        <f>""</f>
        <v/>
      </c>
      <c r="F175" t="str">
        <f>""</f>
        <v/>
      </c>
      <c r="G175" t="str">
        <f>"7500.00"</f>
        <v>7500.00</v>
      </c>
      <c r="H175" t="str">
        <f>"Consorzio di bonifica Bacchiglione"</f>
        <v>Consorzio di bonifica Bacchiglione</v>
      </c>
      <c r="I175" t="str">
        <f>"92223390284"</f>
        <v>92223390284</v>
      </c>
      <c r="J175" t="str">
        <f>"23-AFFIDAMENTO DIRETTO"</f>
        <v>23-AFFIDAMENTO DIRETTO</v>
      </c>
      <c r="K175" t="str">
        <f>"04/01/2021"</f>
        <v>04/01/2021</v>
      </c>
      <c r="L175" t="str">
        <f>"13/04/2021"</f>
        <v>13/04/2021</v>
      </c>
      <c r="M175" t="str">
        <f>""</f>
        <v/>
      </c>
      <c r="N175" t="str">
        <f>"I.C.S. Impresa Conglomerati Strade"</f>
        <v>I.C.S. Impresa Conglomerati Strade</v>
      </c>
      <c r="O175" t="str">
        <f>"I.C.S. Impresa Conglomerati Strade"</f>
        <v>I.C.S. Impresa Conglomerati Strade</v>
      </c>
      <c r="P175" t="str">
        <f>"ZC230133B5: [7500.00€ ]"</f>
        <v>ZC230133B5: [7500.00€ ]</v>
      </c>
      <c r="Q175" t="str">
        <f>""</f>
        <v/>
      </c>
      <c r="R175" t="str">
        <f>""</f>
        <v/>
      </c>
      <c r="S175" t="str">
        <f>""</f>
        <v/>
      </c>
      <c r="T175" t="str">
        <f>"https://portaletrasparenza.consorziobacchiglione.it/dettagli/attodigara/6511/lavori-di-asfaltatura-ponte-in-via-boligo-a-campolongo-maggiore.html"</f>
        <v>https://portaletrasparenza.consorziobacchiglione.it/dettagli/attodigara/6511/lavori-di-asfaltatura-ponte-in-via-boligo-a-campolongo-maggiore.html</v>
      </c>
      <c r="U175" t="str">
        <f>"https://portaletrasparenza.consorziobacchiglione.it/download/attodigara/6511/63ac4543a18c2.PDF"</f>
        <v>https://portaletrasparenza.consorziobacchiglione.it/download/attodigara/6511/63ac4543a18c2.PDF</v>
      </c>
      <c r="V17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6" spans="1:22" x14ac:dyDescent="0.3">
      <c r="A176" t="str">
        <f>"Affidamento"</f>
        <v>Affidamento</v>
      </c>
      <c r="B176" t="str">
        <f>"Effettuazione del prelievo ed analisi chimiche su campioni di sedimento e terreno"</f>
        <v>Effettuazione del prelievo ed analisi chimiche su campioni di sedimento e terreno</v>
      </c>
      <c r="C176" t="str">
        <f>"Z5C185EDCF"</f>
        <v>Z5C185EDCF</v>
      </c>
      <c r="D176" t="str">
        <f>"04/11/2021"</f>
        <v>04/11/2021</v>
      </c>
      <c r="E176" t="str">
        <f>""</f>
        <v/>
      </c>
      <c r="F176" t="str">
        <f>""</f>
        <v/>
      </c>
      <c r="G176" t="str">
        <f>"1260.00"</f>
        <v>1260.00</v>
      </c>
      <c r="H176" t="str">
        <f>"Consorzio di bonifica Bacchiglione"</f>
        <v>Consorzio di bonifica Bacchiglione</v>
      </c>
      <c r="I176" t="str">
        <f>"92223390284"</f>
        <v>92223390284</v>
      </c>
      <c r="J176" t="str">
        <f>"23-AFFIDAMENTO DIRETTO"</f>
        <v>23-AFFIDAMENTO DIRETTO</v>
      </c>
      <c r="K176" t="str">
        <f>"04/02/2021"</f>
        <v>04/02/2021</v>
      </c>
      <c r="L176" t="str">
        <f>"06/07/2021"</f>
        <v>06/07/2021</v>
      </c>
      <c r="M176" t="str">
        <f>""</f>
        <v/>
      </c>
      <c r="N176" t="str">
        <f>"Innovazione Chimica s.r.l."</f>
        <v>Innovazione Chimica s.r.l.</v>
      </c>
      <c r="O176" t="str">
        <f>"Innovazione Chimica s.r.l."</f>
        <v>Innovazione Chimica s.r.l.</v>
      </c>
      <c r="P176" t="str">
        <f>"Z5C185EDCF: [1260.00€ ]"</f>
        <v>Z5C185EDCF: [1260.00€ ]</v>
      </c>
      <c r="Q176" t="str">
        <f>""</f>
        <v/>
      </c>
      <c r="R176" t="str">
        <f>""</f>
        <v/>
      </c>
      <c r="S176" t="str">
        <f>""</f>
        <v/>
      </c>
      <c r="T176" t="str">
        <f>"https://portaletrasparenza.consorziobacchiglione.it/dettagli/attodigara/132/effettuazione-del-prelievo-ed-analisi-chimiche-su-campioni-di-sedimento-e-terreno.html"</f>
        <v>https://portaletrasparenza.consorziobacchiglione.it/dettagli/attodigara/132/effettuazione-del-prelievo-ed-analisi-chimiche-su-campioni-di-sedimento-e-terreno.html</v>
      </c>
      <c r="U176" t="str">
        <f>""</f>
        <v/>
      </c>
      <c r="V17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7" spans="1:22" x14ac:dyDescent="0.3">
      <c r="A177" t="str">
        <f>"Affidamento"</f>
        <v>Affidamento</v>
      </c>
      <c r="B177" t="str">
        <f>"Revisione elettropompa ABS Pot. 7,2 KW Idrovora Lusenzo Brondolo."</f>
        <v>Revisione elettropompa ABS Pot. 7,2 KW Idrovora Lusenzo Brondolo.</v>
      </c>
      <c r="C177" t="str">
        <f>"Z0F185EF9B"</f>
        <v>Z0F185EF9B</v>
      </c>
      <c r="D177" t="str">
        <f>"04/11/2021"</f>
        <v>04/11/2021</v>
      </c>
      <c r="E177" t="str">
        <f>""</f>
        <v/>
      </c>
      <c r="F177" t="str">
        <f>""</f>
        <v/>
      </c>
      <c r="G177" t="str">
        <f>"3046.20"</f>
        <v>3046.20</v>
      </c>
      <c r="H177" t="str">
        <f>"Consorzio di bonifica Bacchiglione"</f>
        <v>Consorzio di bonifica Bacchiglione</v>
      </c>
      <c r="I177" t="str">
        <f>"92223390284"</f>
        <v>92223390284</v>
      </c>
      <c r="J177" t="str">
        <f>"23-AFFIDAMENTO DIRETTO"</f>
        <v>23-AFFIDAMENTO DIRETTO</v>
      </c>
      <c r="K177" t="str">
        <f>"04/02/2021"</f>
        <v>04/02/2021</v>
      </c>
      <c r="L177" t="str">
        <f>"06/04/2021"</f>
        <v>06/04/2021</v>
      </c>
      <c r="M177" t="str">
        <f>""</f>
        <v/>
      </c>
      <c r="N177" t="str">
        <f>"Xylem Water Solutions Italia S.r.l. Via Gioacchino Rossini 1A 20020 Lainate MI"</f>
        <v>Xylem Water Solutions Italia S.r.l. Via Gioacchino Rossini 1A 20020 Lainate MI</v>
      </c>
      <c r="O177" t="str">
        <f>"Xylem Water Solutions Italia S.r.l. Via Gioacchino Rossini 1A 20020 Lainate MI"</f>
        <v>Xylem Water Solutions Italia S.r.l. Via Gioacchino Rossini 1A 20020 Lainate MI</v>
      </c>
      <c r="P177" t="str">
        <f>"Z0F185EF9B: [3046.20€ ]"</f>
        <v>Z0F185EF9B: [3046.20€ ]</v>
      </c>
      <c r="Q177" t="str">
        <f>""</f>
        <v/>
      </c>
      <c r="R177" t="str">
        <f>""</f>
        <v/>
      </c>
      <c r="S177" t="str">
        <f>""</f>
        <v/>
      </c>
      <c r="T177" t="str">
        <f>"https://portaletrasparenza.consorziobacchiglione.it/dettagli/attodigara/131/revisione-elettropompa-abs-pot-7-2-kw-idrovora-lusenzo-brondolo.html"</f>
        <v>https://portaletrasparenza.consorziobacchiglione.it/dettagli/attodigara/131/revisione-elettropompa-abs-pot-7-2-kw-idrovora-lusenzo-brondolo.html</v>
      </c>
      <c r="U177" t="str">
        <f>""</f>
        <v/>
      </c>
      <c r="V1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8" spans="1:22" x14ac:dyDescent="0.3">
      <c r="A178" t="str">
        <f>"Affidamento"</f>
        <v>Affidamento</v>
      </c>
      <c r="B178" t="str">
        <f>"Fornitura calcestruzzo RCK 300 S4 per Idrovora Baldon."</f>
        <v>Fornitura calcestruzzo RCK 300 S4 per Idrovora Baldon.</v>
      </c>
      <c r="C178" t="str">
        <f>"Z81185EC04"</f>
        <v>Z81185EC04</v>
      </c>
      <c r="D178" t="str">
        <f>"04/11/2021"</f>
        <v>04/11/2021</v>
      </c>
      <c r="E178" t="str">
        <f>""</f>
        <v/>
      </c>
      <c r="F178" t="str">
        <f>""</f>
        <v/>
      </c>
      <c r="G178" t="str">
        <f>"100.50"</f>
        <v>100.50</v>
      </c>
      <c r="H178" t="str">
        <f>"Consorzio di bonifica Bacchiglione"</f>
        <v>Consorzio di bonifica Bacchiglione</v>
      </c>
      <c r="I178" t="str">
        <f>"92223390284"</f>
        <v>92223390284</v>
      </c>
      <c r="J178" t="str">
        <f>"23-AFFIDAMENTO DIRETTO"</f>
        <v>23-AFFIDAMENTO DIRETTO</v>
      </c>
      <c r="K178" t="str">
        <f>"04/02/2021"</f>
        <v>04/02/2021</v>
      </c>
      <c r="L178" t="str">
        <f>"24/02/2021"</f>
        <v>24/02/2021</v>
      </c>
      <c r="M178" t="str">
        <f>""</f>
        <v/>
      </c>
      <c r="N178" t="str">
        <f>"Zagolin Giovanni s.r.l. Via Gelsi 56 35028 Piove di Sacco PD"</f>
        <v>Zagolin Giovanni s.r.l. Via Gelsi 56 35028 Piove di Sacco PD</v>
      </c>
      <c r="O178" t="str">
        <f>"Zagolin Giovanni s.r.l. Via Gelsi 56 35028 Piove di Sacco PD"</f>
        <v>Zagolin Giovanni s.r.l. Via Gelsi 56 35028 Piove di Sacco PD</v>
      </c>
      <c r="P178" t="str">
        <f>"Z81185EC04: [100.50€ ]"</f>
        <v>Z81185EC04: [100.50€ ]</v>
      </c>
      <c r="Q178" t="str">
        <f>""</f>
        <v/>
      </c>
      <c r="R178" t="str">
        <f>""</f>
        <v/>
      </c>
      <c r="S178" t="str">
        <f>""</f>
        <v/>
      </c>
      <c r="T178" t="str">
        <f>"https://portaletrasparenza.consorziobacchiglione.it/dettagli/attodigara/130/fornitura-calcestruzzo-rck-300-s4-per-idrovora-baldon.html"</f>
        <v>https://portaletrasparenza.consorziobacchiglione.it/dettagli/attodigara/130/fornitura-calcestruzzo-rck-300-s4-per-idrovora-baldon.html</v>
      </c>
      <c r="U178" t="str">
        <f>""</f>
        <v/>
      </c>
      <c r="V17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9" spans="1:22" x14ac:dyDescent="0.3">
      <c r="A179" t="str">
        <f>"Affidamento"</f>
        <v>Affidamento</v>
      </c>
      <c r="B179" t="str">
        <f>"Noleggio camion con cesta, miniescavatore, martello Makita, martellone per Mini e mototroncatrice per vari lavori."</f>
        <v>Noleggio camion con cesta, miniescavatore, martello Makita, martellone per Mini e mototroncatrice per vari lavori.</v>
      </c>
      <c r="C179" t="str">
        <f>"ZE2185E6C9"</f>
        <v>ZE2185E6C9</v>
      </c>
      <c r="D179" t="str">
        <f>"04/11/2021"</f>
        <v>04/11/2021</v>
      </c>
      <c r="E179" t="str">
        <f>""</f>
        <v/>
      </c>
      <c r="F179" t="str">
        <f>""</f>
        <v/>
      </c>
      <c r="G179" t="str">
        <f>"2515.00"</f>
        <v>2515.00</v>
      </c>
      <c r="H179" t="str">
        <f>"Consorzio di bonifica Bacchiglione"</f>
        <v>Consorzio di bonifica Bacchiglione</v>
      </c>
      <c r="I179" t="str">
        <f>"92223390284"</f>
        <v>92223390284</v>
      </c>
      <c r="J179" t="str">
        <f>"23-AFFIDAMENTO DIRETTO"</f>
        <v>23-AFFIDAMENTO DIRETTO</v>
      </c>
      <c r="K179" t="str">
        <f>"04/02/2021"</f>
        <v>04/02/2021</v>
      </c>
      <c r="L179" t="str">
        <f>"24/02/2021"</f>
        <v>24/02/2021</v>
      </c>
      <c r="M179" t="str">
        <f>""</f>
        <v/>
      </c>
      <c r="N179" t="str">
        <f>"Nolo Piovese s.r.l. Via Padana 34 35020 S. Angelo di Piove PD"</f>
        <v>Nolo Piovese s.r.l. Via Padana 34 35020 S. Angelo di Piove PD</v>
      </c>
      <c r="O179" t="str">
        <f>"Nolo Piovese s.r.l. Via Padana 34 35020 S. Angelo di Piove PD"</f>
        <v>Nolo Piovese s.r.l. Via Padana 34 35020 S. Angelo di Piove PD</v>
      </c>
      <c r="P179" t="str">
        <f>"ZE2185E6C9: [2515.00€ ]"</f>
        <v>ZE2185E6C9: [2515.00€ ]</v>
      </c>
      <c r="Q179" t="str">
        <f>""</f>
        <v/>
      </c>
      <c r="R179" t="str">
        <f>""</f>
        <v/>
      </c>
      <c r="S179" t="str">
        <f>""</f>
        <v/>
      </c>
      <c r="T179" t="str">
        <f>"https://portaletrasparenza.consorziobacchiglione.it/dettagli/attodigara/129/noleggio-camion-con-cesta-miniescavatore-martello-makita-martellone-per-mini-e-mototroncatrice-per-vari-lavori.html"</f>
        <v>https://portaletrasparenza.consorziobacchiglione.it/dettagli/attodigara/129/noleggio-camion-con-cesta-miniescavatore-martello-makita-martellone-per-mini-e-mototroncatrice-per-vari-lavori.html</v>
      </c>
      <c r="U179" t="str">
        <f>""</f>
        <v/>
      </c>
      <c r="V1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0" spans="1:22" x14ac:dyDescent="0.3">
      <c r="A180" t="str">
        <f>"Affidamento"</f>
        <v>Affidamento</v>
      </c>
      <c r="B180" t="str">
        <f>"ID 025-15: Lavori di somma urgenza per il ripristino della copertura e della riparazione dello sgrigliatore dell'impianto idrovoro del \'Bernio\' sito in località Piovini di Valli di Chioggia (VE), gravemente danneggiati d"</f>
        <v>ID 025-15: Lavori di somma urgenza per il ripristino della copertura e della riparazione dello sgrigliatore dell'impianto idrovoro del \'Bernio\' sito in località Piovini di Valli di Chioggia (VE), gravemente danneggiati d</v>
      </c>
      <c r="C180" t="str">
        <f>"Z2E18570A8"</f>
        <v>Z2E18570A8</v>
      </c>
      <c r="D180" t="str">
        <f>"04/11/2021"</f>
        <v>04/11/2021</v>
      </c>
      <c r="E180" t="str">
        <f>""</f>
        <v/>
      </c>
      <c r="F180" t="str">
        <f>""</f>
        <v/>
      </c>
      <c r="G180" t="str">
        <f>"6602.68"</f>
        <v>6602.68</v>
      </c>
      <c r="H180" t="str">
        <f>"Consorzio di bonifica Bacchiglione"</f>
        <v>Consorzio di bonifica Bacchiglione</v>
      </c>
      <c r="I180" t="str">
        <f>"92223390284"</f>
        <v>92223390284</v>
      </c>
      <c r="J180" t="str">
        <f>"23-AFFIDAMENTO DIRETTO"</f>
        <v>23-AFFIDAMENTO DIRETTO</v>
      </c>
      <c r="K180" t="str">
        <f>"04/02/2021"</f>
        <v>04/02/2021</v>
      </c>
      <c r="L180" t="str">
        <f>"22/02/2021"</f>
        <v>22/02/2021</v>
      </c>
      <c r="M180" t="str">
        <f>""</f>
        <v/>
      </c>
      <c r="N180" t="str">
        <f>"Officina Biesse snc di BIZZO E SALMASO"</f>
        <v>Officina Biesse snc di BIZZO E SALMASO</v>
      </c>
      <c r="O180" t="str">
        <f>"Officina Biesse snc di BIZZO E SALMASO"</f>
        <v>Officina Biesse snc di BIZZO E SALMASO</v>
      </c>
      <c r="P180" t="str">
        <f>"Z2E18570A8: [6602.68€ ]"</f>
        <v>Z2E18570A8: [6602.68€ ]</v>
      </c>
      <c r="Q180" t="str">
        <f>""</f>
        <v/>
      </c>
      <c r="R180" t="str">
        <f>""</f>
        <v/>
      </c>
      <c r="S180" t="str">
        <f>""</f>
        <v/>
      </c>
      <c r="T180" t="s">
        <v>56</v>
      </c>
      <c r="U180" t="str">
        <f>""</f>
        <v/>
      </c>
      <c r="V18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1" spans="1:22" x14ac:dyDescent="0.3">
      <c r="A181" t="str">
        <f>"Affidamento"</f>
        <v>Affidamento</v>
      </c>
      <c r="B181" t="str">
        <f>"Fornitura n 16 rotoli di carta GR. 80 H 0,914 x 50 mt. per plotter , n 1 cartuccia codice C9403A, n 1 cartuccia codice C9371A, n 1 cartuccia codice C9374A per sede Consorziale."</f>
        <v>Fornitura n 16 rotoli di carta GR. 80 H 0,914 x 50 mt. per plotter , n 1 cartuccia codice C9403A, n 1 cartuccia codice C9371A, n 1 cartuccia codice C9374A per sede Consorziale.</v>
      </c>
      <c r="C181" t="str">
        <f>"Z72185CB8A"</f>
        <v>Z72185CB8A</v>
      </c>
      <c r="D181" t="str">
        <f>"04/11/2021"</f>
        <v>04/11/2021</v>
      </c>
      <c r="E181" t="str">
        <f>""</f>
        <v/>
      </c>
      <c r="F181" t="str">
        <f>""</f>
        <v/>
      </c>
      <c r="G181" t="str">
        <f>"337.21"</f>
        <v>337.21</v>
      </c>
      <c r="H181" t="str">
        <f>"Consorzio di bonifica Bacchiglione"</f>
        <v>Consorzio di bonifica Bacchiglione</v>
      </c>
      <c r="I181" t="str">
        <f>"92223390284"</f>
        <v>92223390284</v>
      </c>
      <c r="J181" t="str">
        <f>"23-AFFIDAMENTO DIRETTO"</f>
        <v>23-AFFIDAMENTO DIRETTO</v>
      </c>
      <c r="K181" t="str">
        <f>"04/02/2021"</f>
        <v>04/02/2021</v>
      </c>
      <c r="L181" t="str">
        <f>"26/04/2021"</f>
        <v>26/04/2021</v>
      </c>
      <c r="M181" t="str">
        <f>""</f>
        <v/>
      </c>
      <c r="N181" t="str">
        <f>"BM OFFICE E SERVICE SRLS Via dalla Zuanna 13 36012 Asiago VI"</f>
        <v>BM OFFICE E SERVICE SRLS Via dalla Zuanna 13 36012 Asiago VI</v>
      </c>
      <c r="O181" t="str">
        <f>"BM OFFICE E SERVICE SRLS Via dalla Zuanna 13 36012 Asiago VI"</f>
        <v>BM OFFICE E SERVICE SRLS Via dalla Zuanna 13 36012 Asiago VI</v>
      </c>
      <c r="P181" t="str">
        <f>"Z72185CB8A: [337.21€ ]"</f>
        <v>Z72185CB8A: [337.21€ ]</v>
      </c>
      <c r="Q181" t="str">
        <f>""</f>
        <v/>
      </c>
      <c r="R181" t="str">
        <f>""</f>
        <v/>
      </c>
      <c r="S181" t="str">
        <f>""</f>
        <v/>
      </c>
      <c r="T181" t="str">
        <f>"https://portaletrasparenza.consorziobacchiglione.it/dettagli/attodigara/127/fornitura-n-16-rotoli-di-carta-gr-80-h-0-914-x-50-mt-per-plotter-n-1-cartuccia-codice-c9403a-n-1-cartuccia-codice-c9371a-n-1-cartuccia-codice-c9374a-per-sede-consorziale.html"</f>
        <v>https://portaletrasparenza.consorziobacchiglione.it/dettagli/attodigara/127/fornitura-n-16-rotoli-di-carta-gr-80-h-0-914-x-50-mt-per-plotter-n-1-cartuccia-codice-c9403a-n-1-cartuccia-codice-c9371a-n-1-cartuccia-codice-c9374a-per-sede-consorziale.html</v>
      </c>
      <c r="U181" t="str">
        <f>""</f>
        <v/>
      </c>
      <c r="V18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2" spans="1:22" x14ac:dyDescent="0.3">
      <c r="A182" t="str">
        <f>"Affidamento"</f>
        <v>Affidamento</v>
      </c>
      <c r="B182" t="str">
        <f>"Attività di consulenza su sfioratore APS e sezioni tipologiche tratto di monte - Processo ID 006-03."</f>
        <v>Attività di consulenza su sfioratore APS e sezioni tipologiche tratto di monte - Processo ID 006-03.</v>
      </c>
      <c r="C182" t="str">
        <f>"Z92185D71B"</f>
        <v>Z92185D71B</v>
      </c>
      <c r="D182" t="str">
        <f>"04/11/2021"</f>
        <v>04/11/2021</v>
      </c>
      <c r="E182" t="str">
        <f>""</f>
        <v/>
      </c>
      <c r="F182" t="str">
        <f>""</f>
        <v/>
      </c>
      <c r="G182" t="str">
        <f>"18720.00"</f>
        <v>18720.00</v>
      </c>
      <c r="H182" t="str">
        <f>"Consorzio di bonifica Bacchiglione"</f>
        <v>Consorzio di bonifica Bacchiglione</v>
      </c>
      <c r="I182" t="str">
        <f>"92223390284"</f>
        <v>92223390284</v>
      </c>
      <c r="J182" t="str">
        <f>"23-AFFIDAMENTO DIRETTO"</f>
        <v>23-AFFIDAMENTO DIRETTO</v>
      </c>
      <c r="K182" t="str">
        <f>"04/02/2021"</f>
        <v>04/02/2021</v>
      </c>
      <c r="L182" t="str">
        <f>"19/12/2021"</f>
        <v>19/12/2021</v>
      </c>
      <c r="M182" t="str">
        <f>""</f>
        <v/>
      </c>
      <c r="N182" t="str">
        <f>"Studio Rinaldo S.r.l."</f>
        <v>Studio Rinaldo S.r.l.</v>
      </c>
      <c r="O182" t="str">
        <f>"Studio Rinaldo S.r.l."</f>
        <v>Studio Rinaldo S.r.l.</v>
      </c>
      <c r="P182" t="str">
        <f>"Z92185D71B: [18720.00€ ]"</f>
        <v>Z92185D71B: [18720.00€ ]</v>
      </c>
      <c r="Q182" t="str">
        <f>""</f>
        <v/>
      </c>
      <c r="R182" t="str">
        <f>""</f>
        <v/>
      </c>
      <c r="S182" t="str">
        <f>""</f>
        <v/>
      </c>
      <c r="T182" t="str">
        <f>"https://portaletrasparenza.consorziobacchiglione.it/dettagli/attodigara/126/attivita-di-consulenza-su-sfioratore-aps-e-sezioni-tipologiche-tratto-di-monte-processo-id-006-03.html"</f>
        <v>https://portaletrasparenza.consorziobacchiglione.it/dettagli/attodigara/126/attivita-di-consulenza-su-sfioratore-aps-e-sezioni-tipologiche-tratto-di-monte-processo-id-006-03.html</v>
      </c>
      <c r="U182" t="str">
        <f>""</f>
        <v/>
      </c>
      <c r="V1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3" spans="1:22" x14ac:dyDescent="0.3">
      <c r="A183" t="str">
        <f>"Affidamento"</f>
        <v>Affidamento</v>
      </c>
      <c r="B183" t="str">
        <f>"Intervento di riparazione presa contatore gas proprietà Noventa, in via Rienza. - Processo ID 006-03."</f>
        <v>Intervento di riparazione presa contatore gas proprietà Noventa, in via Rienza. - Processo ID 006-03.</v>
      </c>
      <c r="C183" t="str">
        <f>"ZEB185E740"</f>
        <v>ZEB185E740</v>
      </c>
      <c r="D183" t="str">
        <f>"04/11/2021"</f>
        <v>04/11/2021</v>
      </c>
      <c r="E183" t="str">
        <f>""</f>
        <v/>
      </c>
      <c r="F183" t="str">
        <f>""</f>
        <v/>
      </c>
      <c r="G183" t="str">
        <f>"1400.00"</f>
        <v>1400.00</v>
      </c>
      <c r="H183" t="str">
        <f>"Consorzio di bonifica Bacchiglione"</f>
        <v>Consorzio di bonifica Bacchiglione</v>
      </c>
      <c r="I183" t="str">
        <f>"92223390284"</f>
        <v>92223390284</v>
      </c>
      <c r="J183" t="str">
        <f>"23-AFFIDAMENTO DIRETTO"</f>
        <v>23-AFFIDAMENTO DIRETTO</v>
      </c>
      <c r="K183" t="str">
        <f>"04/02/2021"</f>
        <v>04/02/2021</v>
      </c>
      <c r="L183" t="str">
        <f>"13/05/2021"</f>
        <v>13/05/2021</v>
      </c>
      <c r="M183" t="str">
        <f>""</f>
        <v/>
      </c>
      <c r="N183" t="str">
        <f>"AcegasApsAmga S.p.A."</f>
        <v>AcegasApsAmga S.p.A.</v>
      </c>
      <c r="O183" t="str">
        <f>"AcegasApsAmga S.p.A."</f>
        <v>AcegasApsAmga S.p.A.</v>
      </c>
      <c r="P183" t="str">
        <f>"ZEB185E740: [1158.20€ ]"</f>
        <v>ZEB185E740: [1158.20€ ]</v>
      </c>
      <c r="Q183" t="str">
        <f>""</f>
        <v/>
      </c>
      <c r="R183" t="str">
        <f>""</f>
        <v/>
      </c>
      <c r="S183" t="str">
        <f>""</f>
        <v/>
      </c>
      <c r="T183" t="str">
        <f>"https://portaletrasparenza.consorziobacchiglione.it/dettagli/attodigara/125/intervento-di-riparazione-presa-contatore-gas-proprieta-noventa-in-via-rienza-processo-id-006-03.html"</f>
        <v>https://portaletrasparenza.consorziobacchiglione.it/dettagli/attodigara/125/intervento-di-riparazione-presa-contatore-gas-proprieta-noventa-in-via-rienza-processo-id-006-03.html</v>
      </c>
      <c r="U183" t="str">
        <f>""</f>
        <v/>
      </c>
      <c r="V183">
        <f>(SUBSTITUTE(Tabella1[[#This Row],[Importo di aggiudicazione]],".",","))-(SUBSTITUTE(  SUBSTITUTE(          SUBSTITUTE(Tabella1[[#This Row],[Dettaglio somme liquidate]],Tabella1[[#This Row],[CIG]]&amp;": [",""),"€ ]",""),".",","))</f>
        <v>241.79999999999995</v>
      </c>
    </row>
    <row r="184" spans="1:22" x14ac:dyDescent="0.3">
      <c r="A184" t="str">
        <f>"Affidamento"</f>
        <v>Affidamento</v>
      </c>
      <c r="B184" t="str">
        <f>"Noleggio Dumper Takeuchi TCR50 con cassone per lavori presso scolo Scarpa"</f>
        <v>Noleggio Dumper Takeuchi TCR50 con cassone per lavori presso scolo Scarpa</v>
      </c>
      <c r="C184" t="str">
        <f>"Z2530832DE"</f>
        <v>Z2530832DE</v>
      </c>
      <c r="D184" t="str">
        <f>"05/02/2021"</f>
        <v>05/02/2021</v>
      </c>
      <c r="E184" t="str">
        <f>""</f>
        <v/>
      </c>
      <c r="F184" t="str">
        <f>""</f>
        <v/>
      </c>
      <c r="G184" t="str">
        <f>"5750.00"</f>
        <v>5750.00</v>
      </c>
      <c r="H184" t="str">
        <f>"Consorzio di bonifica Bacchiglione"</f>
        <v>Consorzio di bonifica Bacchiglione</v>
      </c>
      <c r="I184" t="str">
        <f>"92223390284"</f>
        <v>92223390284</v>
      </c>
      <c r="J184" t="str">
        <f>"23-AFFIDAMENTO DIRETTO"</f>
        <v>23-AFFIDAMENTO DIRETTO</v>
      </c>
      <c r="K184" t="str">
        <f>"04/02/2021"</f>
        <v>04/02/2021</v>
      </c>
      <c r="L184" t="str">
        <f>"12/02/2021"</f>
        <v>12/02/2021</v>
      </c>
      <c r="M184" t="str">
        <f>""</f>
        <v/>
      </c>
      <c r="N184" t="str">
        <f>"Franco Clò Via Boscon 9 - 32100 Belluno"</f>
        <v>Franco Clò Via Boscon 9 - 32100 Belluno</v>
      </c>
      <c r="O184" t="str">
        <f>"Franco Clò Via Boscon 9 - 32100 Belluno"</f>
        <v>Franco Clò Via Boscon 9 - 32100 Belluno</v>
      </c>
      <c r="P184" t="str">
        <f>"Z2530832DE: [5750.00€ ]"</f>
        <v>Z2530832DE: [5750.00€ ]</v>
      </c>
      <c r="Q184" t="str">
        <f>""</f>
        <v/>
      </c>
      <c r="R184" t="str">
        <f>""</f>
        <v/>
      </c>
      <c r="S184" t="str">
        <f>""</f>
        <v/>
      </c>
      <c r="T184" t="str">
        <f>"https://portaletrasparenza.consorziobacchiglione.it/dettagli/attodigara/6610/noleggio-dumper-takeuchi-tcr50-con-cassone-per-lavori-presso-scolo-scarpa.html"</f>
        <v>https://portaletrasparenza.consorziobacchiglione.it/dettagli/attodigara/6610/noleggio-dumper-takeuchi-tcr50-con-cassone-per-lavori-presso-scolo-scarpa.html</v>
      </c>
      <c r="U184" t="str">
        <f>"https://portaletrasparenza.consorziobacchiglione.it/download/attodigara/6610/63ac4557da8eb.PDF"</f>
        <v>https://portaletrasparenza.consorziobacchiglione.it/download/attodigara/6610/63ac4557da8eb.PDF</v>
      </c>
      <c r="V1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5" spans="1:22" x14ac:dyDescent="0.3">
      <c r="A185" t="str">
        <f>"Affidamento"</f>
        <v>Affidamento</v>
      </c>
      <c r="B185" t="str">
        <f>"Noleggio escavatore cingolato Kubota KX080 per lavori presso scolo Fiumicello"</f>
        <v>Noleggio escavatore cingolato Kubota KX080 per lavori presso scolo Fiumicello</v>
      </c>
      <c r="C185" t="str">
        <f>"Z853082D5E"</f>
        <v>Z853082D5E</v>
      </c>
      <c r="D185" t="str">
        <f>"05/02/2021"</f>
        <v>05/02/2021</v>
      </c>
      <c r="E185" t="str">
        <f>""</f>
        <v/>
      </c>
      <c r="F185" t="str">
        <f>""</f>
        <v/>
      </c>
      <c r="G185" t="str">
        <f>"5775.00"</f>
        <v>5775.00</v>
      </c>
      <c r="H185" t="str">
        <f>"Consorzio di bonifica Bacchiglione"</f>
        <v>Consorzio di bonifica Bacchiglione</v>
      </c>
      <c r="I185" t="str">
        <f>"92223390284"</f>
        <v>92223390284</v>
      </c>
      <c r="J185" t="str">
        <f>"23-AFFIDAMENTO DIRETTO"</f>
        <v>23-AFFIDAMENTO DIRETTO</v>
      </c>
      <c r="K185" t="str">
        <f>"04/02/2021"</f>
        <v>04/02/2021</v>
      </c>
      <c r="L185" t="str">
        <f>"10/02/2021"</f>
        <v>10/02/2021</v>
      </c>
      <c r="M185" t="str">
        <f>""</f>
        <v/>
      </c>
      <c r="N185" t="str">
        <f>"Sorme s.n.c. Via Monache 21 35030 Selvazzano Dentro PD"</f>
        <v>Sorme s.n.c. Via Monache 21 35030 Selvazzano Dentro PD</v>
      </c>
      <c r="O185" t="str">
        <f>"Sorme s.n.c. Via Monache 21 35030 Selvazzano Dentro PD"</f>
        <v>Sorme s.n.c. Via Monache 21 35030 Selvazzano Dentro PD</v>
      </c>
      <c r="P185" t="str">
        <f>"Z853082D5E: [5775.00€ ]"</f>
        <v>Z853082D5E: [5775.00€ ]</v>
      </c>
      <c r="Q185" t="str">
        <f>""</f>
        <v/>
      </c>
      <c r="R185" t="str">
        <f>""</f>
        <v/>
      </c>
      <c r="S185" t="str">
        <f>""</f>
        <v/>
      </c>
      <c r="T185" t="str">
        <f>"https://portaletrasparenza.consorziobacchiglione.it/dettagli/attodigara/6609/noleggio-escavatore-cingolato-kubota-kx080-per-lavori-presso-scolo-fiumicello.html"</f>
        <v>https://portaletrasparenza.consorziobacchiglione.it/dettagli/attodigara/6609/noleggio-escavatore-cingolato-kubota-kx080-per-lavori-presso-scolo-fiumicello.html</v>
      </c>
      <c r="U185" t="str">
        <f>"https://portaletrasparenza.consorziobacchiglione.it/download/attodigara/6609/63ac4557a1a36.PDF"</f>
        <v>https://portaletrasparenza.consorziobacchiglione.it/download/attodigara/6609/63ac4557a1a36.PDF</v>
      </c>
      <c r="V1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6" spans="1:22" x14ac:dyDescent="0.3">
      <c r="A186" t="str">
        <f>"Affidamento"</f>
        <v>Affidamento</v>
      </c>
      <c r="B186" t="str">
        <f>"Smontaggio sistema satellitare del mezzo con targa DA202YW, igienizzazione auto del mezzo con targa: DS716AA, più sostituzione batteria del mezzo con targa: AKV813"</f>
        <v>Smontaggio sistema satellitare del mezzo con targa DA202YW, igienizzazione auto del mezzo con targa: DS716AA, più sostituzione batteria del mezzo con targa: AKV813</v>
      </c>
      <c r="C186" t="str">
        <f>"Z7A3082C5D"</f>
        <v>Z7A3082C5D</v>
      </c>
      <c r="D186" t="str">
        <f>"05/02/2021"</f>
        <v>05/02/2021</v>
      </c>
      <c r="E186" t="str">
        <f>""</f>
        <v/>
      </c>
      <c r="F186" t="str">
        <f>""</f>
        <v/>
      </c>
      <c r="G186" t="str">
        <f>"550.00"</f>
        <v>550.00</v>
      </c>
      <c r="H186" t="str">
        <f>"Consorzio di bonifica Bacchiglione"</f>
        <v>Consorzio di bonifica Bacchiglione</v>
      </c>
      <c r="I186" t="str">
        <f>"92223390284"</f>
        <v>92223390284</v>
      </c>
      <c r="J186" t="str">
        <f>"23-AFFIDAMENTO DIRETTO"</f>
        <v>23-AFFIDAMENTO DIRETTO</v>
      </c>
      <c r="K186" t="str">
        <f>"04/02/2021"</f>
        <v>04/02/2021</v>
      </c>
      <c r="L186" t="str">
        <f>"10/03/2022"</f>
        <v>10/03/2022</v>
      </c>
      <c r="M186" t="str">
        <f>""</f>
        <v/>
      </c>
      <c r="N186" t="str">
        <f>"Vise Elettrocar Via Montagnon 61 35028 Tognana di Piove di Sacco PD"</f>
        <v>Vise Elettrocar Via Montagnon 61 35028 Tognana di Piove di Sacco PD</v>
      </c>
      <c r="O186" t="str">
        <f>"Vise Elettrocar Via Montagnon 61 35028 Tognana di Piove di Sacco PD"</f>
        <v>Vise Elettrocar Via Montagnon 61 35028 Tognana di Piove di Sacco PD</v>
      </c>
      <c r="P186" t="str">
        <f>"Z7A3082C5D: [550.00€ ]"</f>
        <v>Z7A3082C5D: [550.00€ ]</v>
      </c>
      <c r="Q186" t="str">
        <f>""</f>
        <v/>
      </c>
      <c r="R186" t="str">
        <f>""</f>
        <v/>
      </c>
      <c r="S186" t="str">
        <f>""</f>
        <v/>
      </c>
      <c r="T186" t="str">
        <f>"https://portaletrasparenza.consorziobacchiglione.it/dettagli/attodigara/6608/smontaggio-sistema-satellitare-del-mezzo-con-targa-da202yw-igienizzazione-auto-del-mezzo-con-targa-ds716aa-piu-sostituzione-batteria-del-mezzo-con-targa-akv813.html"</f>
        <v>https://portaletrasparenza.consorziobacchiglione.it/dettagli/attodigara/6608/smontaggio-sistema-satellitare-del-mezzo-con-targa-da202yw-igienizzazione-auto-del-mezzo-con-targa-ds716aa-piu-sostituzione-batteria-del-mezzo-con-targa-akv813.html</v>
      </c>
      <c r="U186" t="str">
        <f>"https://portaletrasparenza.consorziobacchiglione.it/download/attodigara/6608/63ac4557688c1.PDF"</f>
        <v>https://portaletrasparenza.consorziobacchiglione.it/download/attodigara/6608/63ac4557688c1.PDF</v>
      </c>
      <c r="V18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7" spans="1:22" x14ac:dyDescent="0.3">
      <c r="A187" t="str">
        <f>"Affidamento"</f>
        <v>Affidamento</v>
      </c>
      <c r="B187" t="str">
        <f>"Assistenza al collaudo annuale e controllo su mezzi con targa: FT040WG, FF974PM, FF936PM"</f>
        <v>Assistenza al collaudo annuale e controllo su mezzi con targa: FT040WG, FF974PM, FF936PM</v>
      </c>
      <c r="C187" t="str">
        <f>"Z95307F9CB"</f>
        <v>Z95307F9CB</v>
      </c>
      <c r="D187" t="str">
        <f>"05/02/2021"</f>
        <v>05/02/2021</v>
      </c>
      <c r="E187" t="str">
        <f>""</f>
        <v/>
      </c>
      <c r="F187" t="str">
        <f>""</f>
        <v/>
      </c>
      <c r="G187" t="str">
        <f>"810.00"</f>
        <v>810.00</v>
      </c>
      <c r="H187" t="str">
        <f>"Consorzio di bonifica Bacchiglione"</f>
        <v>Consorzio di bonifica Bacchiglione</v>
      </c>
      <c r="I187" t="str">
        <f>"92223390284"</f>
        <v>92223390284</v>
      </c>
      <c r="J187" t="str">
        <f>"23-AFFIDAMENTO DIRETTO"</f>
        <v>23-AFFIDAMENTO DIRETTO</v>
      </c>
      <c r="K187" t="str">
        <f>"04/02/2021"</f>
        <v>04/02/2021</v>
      </c>
      <c r="L187" t="str">
        <f>"10/02/2021"</f>
        <v>10/02/2021</v>
      </c>
      <c r="M187" t="str">
        <f>""</f>
        <v/>
      </c>
      <c r="N187" t="str">
        <f>"Moressa s.r.l. Via Cuccara 2 35020 Due Carrare PD"</f>
        <v>Moressa s.r.l. Via Cuccara 2 35020 Due Carrare PD</v>
      </c>
      <c r="O187" t="str">
        <f>"Moressa s.r.l. Via Cuccara 2 35020 Due Carrare PD"</f>
        <v>Moressa s.r.l. Via Cuccara 2 35020 Due Carrare PD</v>
      </c>
      <c r="P187" t="str">
        <f>"Z95307F9CB: [810.00€ ]"</f>
        <v>Z95307F9CB: [810.00€ ]</v>
      </c>
      <c r="Q187" t="str">
        <f>""</f>
        <v/>
      </c>
      <c r="R187" t="str">
        <f>""</f>
        <v/>
      </c>
      <c r="S187" t="str">
        <f>""</f>
        <v/>
      </c>
      <c r="T187" t="str">
        <f>"https://portaletrasparenza.consorziobacchiglione.it/dettagli/attodigara/6607/assistenza-al-collaudo-annuale-e-controllo-su-mezzi-con-targa-ft040wg-ff974pm-ff936pm.html"</f>
        <v>https://portaletrasparenza.consorziobacchiglione.it/dettagli/attodigara/6607/assistenza-al-collaudo-annuale-e-controllo-su-mezzi-con-targa-ft040wg-ff974pm-ff936pm.html</v>
      </c>
      <c r="U187" t="str">
        <f>"https://portaletrasparenza.consorziobacchiglione.it/download/attodigara/6607/63ac45572fe55.PDF"</f>
        <v>https://portaletrasparenza.consorziobacchiglione.it/download/attodigara/6607/63ac45572fe55.PDF</v>
      </c>
      <c r="V1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8" spans="1:22" x14ac:dyDescent="0.3">
      <c r="A188" t="str">
        <f>"Affidamento"</f>
        <v>Affidamento</v>
      </c>
      <c r="B188" t="str">
        <f>"Tagliando completo su mezzi targati: FZ296XV e FZ297XV"</f>
        <v>Tagliando completo su mezzi targati: FZ296XV e FZ297XV</v>
      </c>
      <c r="C188" t="str">
        <f>"ZF5307F15A"</f>
        <v>ZF5307F15A</v>
      </c>
      <c r="D188" t="str">
        <f>"05/02/2021"</f>
        <v>05/02/2021</v>
      </c>
      <c r="E188" t="str">
        <f>""</f>
        <v/>
      </c>
      <c r="F188" t="str">
        <f>""</f>
        <v/>
      </c>
      <c r="G188" t="str">
        <f>"400.26"</f>
        <v>400.26</v>
      </c>
      <c r="H188" t="str">
        <f>"Consorzio di bonifica Bacchiglione"</f>
        <v>Consorzio di bonifica Bacchiglione</v>
      </c>
      <c r="I188" t="str">
        <f>"92223390284"</f>
        <v>92223390284</v>
      </c>
      <c r="J188" t="str">
        <f>"23-AFFIDAMENTO DIRETTO"</f>
        <v>23-AFFIDAMENTO DIRETTO</v>
      </c>
      <c r="K188" t="str">
        <f>"04/02/2021"</f>
        <v>04/02/2021</v>
      </c>
      <c r="L188" t="str">
        <f>"05/03/2021"</f>
        <v>05/03/2021</v>
      </c>
      <c r="M188" t="str">
        <f>""</f>
        <v/>
      </c>
      <c r="N188" t="str">
        <f>"BiEBI Auto Viale L.da Vinci, 7,35020 Vigorovea (PD)"</f>
        <v>BiEBI Auto Viale L.da Vinci, 7,35020 Vigorovea (PD)</v>
      </c>
      <c r="O188" t="str">
        <f>"BiEBI Auto Viale L.da Vinci, 7,35020 Vigorovea (PD)"</f>
        <v>BiEBI Auto Viale L.da Vinci, 7,35020 Vigorovea (PD)</v>
      </c>
      <c r="P188" t="str">
        <f>"ZF5307F15A: [400.26€ ]"</f>
        <v>ZF5307F15A: [400.26€ ]</v>
      </c>
      <c r="Q188" t="str">
        <f>""</f>
        <v/>
      </c>
      <c r="R188" t="str">
        <f>""</f>
        <v/>
      </c>
      <c r="S188" t="str">
        <f>""</f>
        <v/>
      </c>
      <c r="T188" t="str">
        <f>"https://portaletrasparenza.consorziobacchiglione.it/dettagli/attodigara/6606/tagliando-completo-su-mezzi-targati-fz296xv-e-fz297xv.html"</f>
        <v>https://portaletrasparenza.consorziobacchiglione.it/dettagli/attodigara/6606/tagliando-completo-su-mezzi-targati-fz296xv-e-fz297xv.html</v>
      </c>
      <c r="U188" t="str">
        <f>"https://portaletrasparenza.consorziobacchiglione.it/download/attodigara/6606/63ac4556ebc91.PDF"</f>
        <v>https://portaletrasparenza.consorziobacchiglione.it/download/attodigara/6606/63ac4556ebc91.PDF</v>
      </c>
      <c r="V18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9" spans="1:22" x14ac:dyDescent="0.3">
      <c r="A189" t="str">
        <f>"Affidamento"</f>
        <v>Affidamento</v>
      </c>
      <c r="B189" t="str">
        <f>"Fornitura tubo carboil 10 bar per mezzo con targa: AKA712"</f>
        <v>Fornitura tubo carboil 10 bar per mezzo con targa: AKA712</v>
      </c>
      <c r="C189" t="str">
        <f>"ZF4307EF1F"</f>
        <v>ZF4307EF1F</v>
      </c>
      <c r="D189" t="str">
        <f>"05/02/2021"</f>
        <v>05/02/2021</v>
      </c>
      <c r="E189" t="str">
        <f>""</f>
        <v/>
      </c>
      <c r="F189" t="str">
        <f>""</f>
        <v/>
      </c>
      <c r="G189" t="str">
        <f>"113.40"</f>
        <v>113.40</v>
      </c>
      <c r="H189" t="str">
        <f>"Consorzio di bonifica Bacchiglione"</f>
        <v>Consorzio di bonifica Bacchiglione</v>
      </c>
      <c r="I189" t="str">
        <f>"92223390284"</f>
        <v>92223390284</v>
      </c>
      <c r="J189" t="str">
        <f>"23-AFFIDAMENTO DIRETTO"</f>
        <v>23-AFFIDAMENTO DIRETTO</v>
      </c>
      <c r="K189" t="str">
        <f>"04/02/2021"</f>
        <v>04/02/2021</v>
      </c>
      <c r="L189" t="str">
        <f>"30/01/2021"</f>
        <v>30/01/2021</v>
      </c>
      <c r="M189" t="str">
        <f>""</f>
        <v/>
      </c>
      <c r="N189" t="str">
        <f>"Polytec S.R.L. Via Canova, 6-8 35020 S.Angelo di Piove di Sacco (PD)"</f>
        <v>Polytec S.R.L. Via Canova, 6-8 35020 S.Angelo di Piove di Sacco (PD)</v>
      </c>
      <c r="O189" t="str">
        <f>"Polytec S.R.L. Via Canova, 6-8 35020 S.Angelo di Piove di Sacco (PD)"</f>
        <v>Polytec S.R.L. Via Canova, 6-8 35020 S.Angelo di Piove di Sacco (PD)</v>
      </c>
      <c r="P189" t="str">
        <f>"ZF4307EF1F: [113.40€ ]"</f>
        <v>ZF4307EF1F: [113.40€ ]</v>
      </c>
      <c r="Q189" t="str">
        <f>""</f>
        <v/>
      </c>
      <c r="R189" t="str">
        <f>""</f>
        <v/>
      </c>
      <c r="S189" t="str">
        <f>""</f>
        <v/>
      </c>
      <c r="T189" t="str">
        <f>"https://portaletrasparenza.consorziobacchiglione.it/dettagli/attodigara/6605/fornitura-tubo-carboil-10-bar-per-mezzo-con-targa-aka712.html"</f>
        <v>https://portaletrasparenza.consorziobacchiglione.it/dettagli/attodigara/6605/fornitura-tubo-carboil-10-bar-per-mezzo-con-targa-aka712.html</v>
      </c>
      <c r="U189" t="str">
        <f>"https://portaletrasparenza.consorziobacchiglione.it/download/attodigara/6605/63ac4556b22a4.PDF"</f>
        <v>https://portaletrasparenza.consorziobacchiglione.it/download/attodigara/6605/63ac4556b22a4.PDF</v>
      </c>
      <c r="V1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0" spans="1:22" x14ac:dyDescent="0.3">
      <c r="A190" t="str">
        <f>"Affidamento"</f>
        <v>Affidamento</v>
      </c>
      <c r="B190" t="str">
        <f>"Manutenzione e riparazione G.E. dell'Idrovora Cambroso."</f>
        <v>Manutenzione e riparazione G.E. dell'Idrovora Cambroso.</v>
      </c>
      <c r="C190" t="str">
        <f>"ZAB18D54C7"</f>
        <v>ZAB18D54C7</v>
      </c>
      <c r="D190" t="str">
        <f>"04/11/2021"</f>
        <v>04/11/2021</v>
      </c>
      <c r="E190" t="str">
        <f>""</f>
        <v/>
      </c>
      <c r="F190" t="str">
        <f>""</f>
        <v/>
      </c>
      <c r="G190" t="str">
        <f>"212.00"</f>
        <v>212.00</v>
      </c>
      <c r="H190" t="str">
        <f>"Consorzio di bonifica Bacchiglione"</f>
        <v>Consorzio di bonifica Bacchiglione</v>
      </c>
      <c r="I190" t="str">
        <f>"92223390284"</f>
        <v>92223390284</v>
      </c>
      <c r="J190" t="str">
        <f>"23-AFFIDAMENTO DIRETTO"</f>
        <v>23-AFFIDAMENTO DIRETTO</v>
      </c>
      <c r="K190" t="str">
        <f>"04/03/2021"</f>
        <v>04/03/2021</v>
      </c>
      <c r="L190" t="str">
        <f>"14/04/2021"</f>
        <v>14/04/2021</v>
      </c>
      <c r="M190" t="str">
        <f>""</f>
        <v/>
      </c>
      <c r="N190" t="str">
        <f>"Officina Biesse S.n.c. Via Matteotti 24 35020 Arzergrande PD"</f>
        <v>Officina Biesse S.n.c. Via Matteotti 24 35020 Arzergrande PD</v>
      </c>
      <c r="O190" t="str">
        <f>"Officina Biesse S.n.c. Via Matteotti 24 35020 Arzergrande PD"</f>
        <v>Officina Biesse S.n.c. Via Matteotti 24 35020 Arzergrande PD</v>
      </c>
      <c r="P190" t="str">
        <f>"ZAB18D54C7: [212.00€ ]"</f>
        <v>ZAB18D54C7: [212.00€ ]</v>
      </c>
      <c r="Q190" t="str">
        <f>""</f>
        <v/>
      </c>
      <c r="R190" t="str">
        <f>""</f>
        <v/>
      </c>
      <c r="S190" t="str">
        <f>""</f>
        <v/>
      </c>
      <c r="T190" t="str">
        <f>"https://portaletrasparenza.consorziobacchiglione.it/dettagli/attodigara/199/manutenzione-e-riparazione-g-e-dell-idrovora-cambroso.html"</f>
        <v>https://portaletrasparenza.consorziobacchiglione.it/dettagli/attodigara/199/manutenzione-e-riparazione-g-e-dell-idrovora-cambroso.html</v>
      </c>
      <c r="U190" t="str">
        <f>""</f>
        <v/>
      </c>
      <c r="V1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1" spans="1:22" x14ac:dyDescent="0.3">
      <c r="A191" t="str">
        <f>"Affidamento"</f>
        <v>Affidamento</v>
      </c>
      <c r="B191" t="str">
        <f>"Lavoro di raschiatura e pulitura del fondo delle canalette irrigue in cls con asporto del materiale fuori dell'alveo su Roggia Barene, Roggia Groppon, Roggia Manzere, Roggia Cinquantacinque, Roggia di Lova per un totale"</f>
        <v>Lavoro di raschiatura e pulitura del fondo delle canalette irrigue in cls con asporto del materiale fuori dell'alveo su Roggia Barene, Roggia Groppon, Roggia Manzere, Roggia Cinquantacinque, Roggia di Lova per un totale</v>
      </c>
      <c r="C191" t="str">
        <f>"ZC718D5285"</f>
        <v>ZC718D5285</v>
      </c>
      <c r="D191" t="str">
        <f>"04/11/2021"</f>
        <v>04/11/2021</v>
      </c>
      <c r="E191" t="str">
        <f>""</f>
        <v/>
      </c>
      <c r="F191" t="str">
        <f>""</f>
        <v/>
      </c>
      <c r="G191" t="str">
        <f>"17373.60"</f>
        <v>17373.60</v>
      </c>
      <c r="H191" t="str">
        <f>"Consorzio di bonifica Bacchiglione"</f>
        <v>Consorzio di bonifica Bacchiglione</v>
      </c>
      <c r="I191" t="str">
        <f>"92223390284"</f>
        <v>92223390284</v>
      </c>
      <c r="J191" t="str">
        <f>"23-AFFIDAMENTO DIRETTO"</f>
        <v>23-AFFIDAMENTO DIRETTO</v>
      </c>
      <c r="K191" t="str">
        <f>"04/03/2021"</f>
        <v>04/03/2021</v>
      </c>
      <c r="L191" t="str">
        <f>"26/04/2021"</f>
        <v>26/04/2021</v>
      </c>
      <c r="M191" t="str">
        <f>""</f>
        <v/>
      </c>
      <c r="N191" t="str">
        <f>"Viale Valter Via 1° Maggio 124 30010 Campagna Lupia VE"</f>
        <v>Viale Valter Via 1° Maggio 124 30010 Campagna Lupia VE</v>
      </c>
      <c r="O191" t="str">
        <f>"Viale Valter Via 1° Maggio 124 30010 Campagna Lupia VE"</f>
        <v>Viale Valter Via 1° Maggio 124 30010 Campagna Lupia VE</v>
      </c>
      <c r="P191" t="str">
        <f>"ZC718D5285: [17373.60€ ]"</f>
        <v>ZC718D5285: [17373.60€ ]</v>
      </c>
      <c r="Q191" t="str">
        <f>""</f>
        <v/>
      </c>
      <c r="R191" t="str">
        <f>""</f>
        <v/>
      </c>
      <c r="S191" t="str">
        <f>""</f>
        <v/>
      </c>
      <c r="T191" t="s">
        <v>54</v>
      </c>
      <c r="U191" t="str">
        <f>""</f>
        <v/>
      </c>
      <c r="V1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2" spans="1:22" x14ac:dyDescent="0.3">
      <c r="A192" t="str">
        <f>"Affidamento"</f>
        <v>Affidamento</v>
      </c>
      <c r="B192" t="str">
        <f>"Noleggio di un Biotrituratore Negri 16 T per Bacino Colli Euganei"</f>
        <v>Noleggio di un Biotrituratore Negri 16 T per Bacino Colli Euganei</v>
      </c>
      <c r="C192" t="str">
        <f>"ZBC30E39A5"</f>
        <v>ZBC30E39A5</v>
      </c>
      <c r="D192" t="str">
        <f>"04/03/2021"</f>
        <v>04/03/2021</v>
      </c>
      <c r="E192" t="str">
        <f>""</f>
        <v/>
      </c>
      <c r="F192" t="str">
        <f>""</f>
        <v/>
      </c>
      <c r="G192" t="str">
        <f>"260.00"</f>
        <v>260.00</v>
      </c>
      <c r="H192" t="str">
        <f>"Consorzio di bonifica Bacchiglione"</f>
        <v>Consorzio di bonifica Bacchiglione</v>
      </c>
      <c r="I192" t="str">
        <f>"92223390284"</f>
        <v>92223390284</v>
      </c>
      <c r="J192" t="str">
        <f>"23-AFFIDAMENTO DIRETTO"</f>
        <v>23-AFFIDAMENTO DIRETTO</v>
      </c>
      <c r="K192" t="str">
        <f>"04/03/2021"</f>
        <v>04/03/2021</v>
      </c>
      <c r="L192" t="str">
        <f>"25/03/2021"</f>
        <v>25/03/2021</v>
      </c>
      <c r="M192" t="str">
        <f>""</f>
        <v/>
      </c>
      <c r="N192" t="str">
        <f>"Ferramenta Milan di Milan Sandro E C. s.a.s Via Trieste 24 35026 Conselve (PD)"</f>
        <v>Ferramenta Milan di Milan Sandro E C. s.a.s Via Trieste 24 35026 Conselve (PD)</v>
      </c>
      <c r="O192" t="str">
        <f>"Ferramenta Milan di Milan Sandro E C. s.a.s Via Trieste 24 35026 Conselve (PD)"</f>
        <v>Ferramenta Milan di Milan Sandro E C. s.a.s Via Trieste 24 35026 Conselve (PD)</v>
      </c>
      <c r="P192" t="str">
        <f>"ZBC30E39A5: [260.00€ ]"</f>
        <v>ZBC30E39A5: [260.00€ ]</v>
      </c>
      <c r="Q192" t="str">
        <f>""</f>
        <v/>
      </c>
      <c r="R192" t="str">
        <f>""</f>
        <v/>
      </c>
      <c r="S192" t="str">
        <f>""</f>
        <v/>
      </c>
      <c r="T192" t="str">
        <f>"https://portaletrasparenza.consorziobacchiglione.it/dettagli/attodigara/6673/noleggio-di-un-biotrituratore-negri-16-t-per-bacino-colli-euganei.html"</f>
        <v>https://portaletrasparenza.consorziobacchiglione.it/dettagli/attodigara/6673/noleggio-di-un-biotrituratore-negri-16-t-per-bacino-colli-euganei.html</v>
      </c>
      <c r="U192" t="str">
        <f>"https://portaletrasparenza.consorziobacchiglione.it/download/attodigara/6673/63ac456567f2e.PDF"</f>
        <v>https://portaletrasparenza.consorziobacchiglione.it/download/attodigara/6673/63ac456567f2e.PDF</v>
      </c>
      <c r="V19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3" spans="1:22" x14ac:dyDescent="0.3">
      <c r="A193" t="str">
        <f>"Affidamento"</f>
        <v>Affidamento</v>
      </c>
      <c r="B193" t="str">
        <f>"Sistemazione fondo e sponde canaletta Montalbano"</f>
        <v>Sistemazione fondo e sponde canaletta Montalbano</v>
      </c>
      <c r="C193" t="str">
        <f>"ZA230DF9C5"</f>
        <v>ZA230DF9C5</v>
      </c>
      <c r="D193" t="str">
        <f>"04/03/2021"</f>
        <v>04/03/2021</v>
      </c>
      <c r="E193" t="str">
        <f>""</f>
        <v/>
      </c>
      <c r="F193" t="str">
        <f>""</f>
        <v/>
      </c>
      <c r="G193" t="str">
        <f>"17100.00"</f>
        <v>17100.00</v>
      </c>
      <c r="H193" t="str">
        <f>"Consorzio di bonifica Bacchiglione"</f>
        <v>Consorzio di bonifica Bacchiglione</v>
      </c>
      <c r="I193" t="str">
        <f>"92223390284"</f>
        <v>92223390284</v>
      </c>
      <c r="J193" t="str">
        <f>"23-AFFIDAMENTO DIRETTO"</f>
        <v>23-AFFIDAMENTO DIRETTO</v>
      </c>
      <c r="K193" t="str">
        <f>"04/03/2021"</f>
        <v>04/03/2021</v>
      </c>
      <c r="L193" t="str">
        <f>"30/04/2021"</f>
        <v>30/04/2021</v>
      </c>
      <c r="M193" t="str">
        <f>""</f>
        <v/>
      </c>
      <c r="N193" t="str">
        <f>"Viale Valter Via 1° Maggio 124 30010 Campagna Lupia VE"</f>
        <v>Viale Valter Via 1° Maggio 124 30010 Campagna Lupia VE</v>
      </c>
      <c r="O193" t="str">
        <f>"Viale Valter Via 1° Maggio 124 30010 Campagna Lupia VE"</f>
        <v>Viale Valter Via 1° Maggio 124 30010 Campagna Lupia VE</v>
      </c>
      <c r="P193" t="str">
        <f>"ZA230DF9C5: [17100.00€ ]"</f>
        <v>ZA230DF9C5: [17100.00€ ]</v>
      </c>
      <c r="Q193" t="str">
        <f>""</f>
        <v/>
      </c>
      <c r="R193" t="str">
        <f>""</f>
        <v/>
      </c>
      <c r="S193" t="str">
        <f>""</f>
        <v/>
      </c>
      <c r="T193" t="str">
        <f>"https://portaletrasparenza.consorziobacchiglione.it/dettagli/attodigara/6671/sistemazione-fondo-e-sponde-canaletta-montalbano.html"</f>
        <v>https://portaletrasparenza.consorziobacchiglione.it/dettagli/attodigara/6671/sistemazione-fondo-e-sponde-canaletta-montalbano.html</v>
      </c>
      <c r="U193" t="str">
        <f>"https://portaletrasparenza.consorziobacchiglione.it/download/attodigara/6671/63ac4564eb45e.PDF"</f>
        <v>https://portaletrasparenza.consorziobacchiglione.it/download/attodigara/6671/63ac4564eb45e.PDF</v>
      </c>
      <c r="V1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4" spans="1:22" x14ac:dyDescent="0.3">
      <c r="A194" t="str">
        <f>"Affidamento"</f>
        <v>Affidamento</v>
      </c>
      <c r="B194" t="str">
        <f>"Tagliando più inversione gomme sui mezzi targati: FV770FY- FV771FY"</f>
        <v>Tagliando più inversione gomme sui mezzi targati: FV770FY- FV771FY</v>
      </c>
      <c r="C194" t="str">
        <f>"Z2430E34F4"</f>
        <v>Z2430E34F4</v>
      </c>
      <c r="D194" t="str">
        <f>"04/03/2021"</f>
        <v>04/03/2021</v>
      </c>
      <c r="E194" t="str">
        <f>""</f>
        <v/>
      </c>
      <c r="F194" t="str">
        <f>""</f>
        <v/>
      </c>
      <c r="G194" t="str">
        <f>"475.41"</f>
        <v>475.41</v>
      </c>
      <c r="H194" t="str">
        <f>"Consorzio di bonifica Bacchiglione"</f>
        <v>Consorzio di bonifica Bacchiglione</v>
      </c>
      <c r="I194" t="str">
        <f>"92223390284"</f>
        <v>92223390284</v>
      </c>
      <c r="J194" t="str">
        <f>"23-AFFIDAMENTO DIRETTO"</f>
        <v>23-AFFIDAMENTO DIRETTO</v>
      </c>
      <c r="K194" t="str">
        <f>"04/03/2021"</f>
        <v>04/03/2021</v>
      </c>
      <c r="L194" t="str">
        <f>"25/03/2021"</f>
        <v>25/03/2021</v>
      </c>
      <c r="M194" t="str">
        <f>""</f>
        <v/>
      </c>
      <c r="N194" t="str">
        <f>"Autobase S.r.l. Via Dell'Artigianato 14-16 Albignasego 35020 (PD)"</f>
        <v>Autobase S.r.l. Via Dell'Artigianato 14-16 Albignasego 35020 (PD)</v>
      </c>
      <c r="O194" t="str">
        <f>"Autobase S.r.l. Via Dell'Artigianato 14-16 Albignasego 35020 (PD)"</f>
        <v>Autobase S.r.l. Via Dell'Artigianato 14-16 Albignasego 35020 (PD)</v>
      </c>
      <c r="P194" t="str">
        <f>"Z2430E34F4: [412.78€ ]"</f>
        <v>Z2430E34F4: [412.78€ ]</v>
      </c>
      <c r="Q194" t="str">
        <f>""</f>
        <v/>
      </c>
      <c r="R194" t="str">
        <f>""</f>
        <v/>
      </c>
      <c r="S194" t="str">
        <f>""</f>
        <v/>
      </c>
      <c r="T194" t="str">
        <f>"https://portaletrasparenza.consorziobacchiglione.it/dettagli/attodigara/6672/tagliando-piu-inversione-gomme-sui-mezzi-targati-fv770fy-fv771fy.html"</f>
        <v>https://portaletrasparenza.consorziobacchiglione.it/dettagli/attodigara/6672/tagliando-piu-inversione-gomme-sui-mezzi-targati-fv770fy-fv771fy.html</v>
      </c>
      <c r="U194" t="str">
        <f>"https://portaletrasparenza.consorziobacchiglione.it/download/attodigara/6672/63ac45652f85b.PDF"</f>
        <v>https://portaletrasparenza.consorziobacchiglione.it/download/attodigara/6672/63ac45652f85b.PDF</v>
      </c>
      <c r="V194">
        <f>(SUBSTITUTE(Tabella1[[#This Row],[Importo di aggiudicazione]],".",","))-(SUBSTITUTE(  SUBSTITUTE(          SUBSTITUTE(Tabella1[[#This Row],[Dettaglio somme liquidate]],Tabella1[[#This Row],[CIG]]&amp;": [",""),"€ ]",""),".",","))</f>
        <v>62.630000000000052</v>
      </c>
    </row>
    <row r="195" spans="1:22" x14ac:dyDescent="0.3">
      <c r="A195" t="str">
        <f>"Affidamento"</f>
        <v>Affidamento</v>
      </c>
      <c r="B195" t="str">
        <f>"Rinnovo canone 2021-2022 per ufficio web modulo tag NFC"</f>
        <v>Rinnovo canone 2021-2022 per ufficio web modulo tag NFC</v>
      </c>
      <c r="C195" t="str">
        <f>"Z7C30E3CFC"</f>
        <v>Z7C30E3CFC</v>
      </c>
      <c r="D195" t="str">
        <f>"05/03/2021"</f>
        <v>05/03/2021</v>
      </c>
      <c r="E195" t="str">
        <f>""</f>
        <v/>
      </c>
      <c r="F195" t="str">
        <f>""</f>
        <v/>
      </c>
      <c r="G195" t="str">
        <f>"80.00"</f>
        <v>80.00</v>
      </c>
      <c r="H195" t="str">
        <f>"Consorzio di bonifica Bacchiglione"</f>
        <v>Consorzio di bonifica Bacchiglione</v>
      </c>
      <c r="I195" t="str">
        <f>"92223390284"</f>
        <v>92223390284</v>
      </c>
      <c r="J195" t="str">
        <f>"23-AFFIDAMENTO DIRETTO"</f>
        <v>23-AFFIDAMENTO DIRETTO</v>
      </c>
      <c r="K195" t="str">
        <f>"04/03/2021"</f>
        <v>04/03/2021</v>
      </c>
      <c r="L195" t="str">
        <f>"12/03/2021"</f>
        <v>12/03/2021</v>
      </c>
      <c r="M195" t="str">
        <f>""</f>
        <v/>
      </c>
      <c r="N195" t="str">
        <f>"Hunext via A. Volta, 23 - 31030 Casier (TV)"</f>
        <v>Hunext via A. Volta, 23 - 31030 Casier (TV)</v>
      </c>
      <c r="O195" t="str">
        <f>"Hunext via A. Volta, 23 - 31030 Casier (TV)"</f>
        <v>Hunext via A. Volta, 23 - 31030 Casier (TV)</v>
      </c>
      <c r="P195" t="str">
        <f>"Z7C30E3CFC: [80.00€ ]"</f>
        <v>Z7C30E3CFC: [80.00€ ]</v>
      </c>
      <c r="Q195" t="str">
        <f>""</f>
        <v/>
      </c>
      <c r="R195" t="str">
        <f>""</f>
        <v/>
      </c>
      <c r="S195" t="str">
        <f>""</f>
        <v/>
      </c>
      <c r="T195" t="str">
        <f>"https://portaletrasparenza.consorziobacchiglione.it/dettagli/attodigara/6674/rinnovo-canone-2021-2022-per-ufficio-web-modulo-tag-nfc.html"</f>
        <v>https://portaletrasparenza.consorziobacchiglione.it/dettagli/attodigara/6674/rinnovo-canone-2021-2022-per-ufficio-web-modulo-tag-nfc.html</v>
      </c>
      <c r="U195" t="str">
        <f>"https://portaletrasparenza.consorziobacchiglione.it/download/attodigara/6674/63ac4565a0477.PDF"</f>
        <v>https://portaletrasparenza.consorziobacchiglione.it/download/attodigara/6674/63ac4565a0477.PDF</v>
      </c>
      <c r="V19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6" spans="1:22" x14ac:dyDescent="0.3">
      <c r="A196" t="str">
        <f>"Affidamento"</f>
        <v>Affidamento</v>
      </c>
      <c r="B196" t="str">
        <f>"Effettuazione di campionamenti ed analisi chimiche su sedimenti."</f>
        <v>Effettuazione di campionamenti ed analisi chimiche su sedimenti.</v>
      </c>
      <c r="C196" t="str">
        <f>"Z3B30E3738"</f>
        <v>Z3B30E3738</v>
      </c>
      <c r="D196" t="str">
        <f>"05/03/2021"</f>
        <v>05/03/2021</v>
      </c>
      <c r="E196" t="str">
        <f>""</f>
        <v/>
      </c>
      <c r="F196" t="str">
        <f>""</f>
        <v/>
      </c>
      <c r="G196" t="str">
        <f>"880.00"</f>
        <v>880.00</v>
      </c>
      <c r="H196" t="str">
        <f>"Consorzio di bonifica Bacchiglione"</f>
        <v>Consorzio di bonifica Bacchiglione</v>
      </c>
      <c r="I196" t="str">
        <f>"92223390284"</f>
        <v>92223390284</v>
      </c>
      <c r="J196" t="str">
        <f>"23-AFFIDAMENTO DIRETTO"</f>
        <v>23-AFFIDAMENTO DIRETTO</v>
      </c>
      <c r="K196" t="str">
        <f>"04/03/2021"</f>
        <v>04/03/2021</v>
      </c>
      <c r="L196" t="str">
        <f>"22/04/2021"</f>
        <v>22/04/2021</v>
      </c>
      <c r="M196" t="str">
        <f>""</f>
        <v/>
      </c>
      <c r="N196" t="str">
        <f>"Innovazione Chimica s.r.l."</f>
        <v>Innovazione Chimica s.r.l.</v>
      </c>
      <c r="O196" t="str">
        <f>"Innovazione Chimica s.r.l."</f>
        <v>Innovazione Chimica s.r.l.</v>
      </c>
      <c r="P196" t="str">
        <f>"Z3B30E3738: [440.00€ ]"</f>
        <v>Z3B30E3738: [440.00€ ]</v>
      </c>
      <c r="Q196" t="str">
        <f>""</f>
        <v/>
      </c>
      <c r="R196" t="str">
        <f>""</f>
        <v/>
      </c>
      <c r="S196" t="str">
        <f>""</f>
        <v/>
      </c>
      <c r="T196" t="str">
        <f>"https://portaletrasparenza.consorziobacchiglione.it/dettagli/attodigara/6675/effettuazione-di-campionamenti-ed-analisi-chimiche-su-sedimenti.html"</f>
        <v>https://portaletrasparenza.consorziobacchiglione.it/dettagli/attodigara/6675/effettuazione-di-campionamenti-ed-analisi-chimiche-su-sedimenti.html</v>
      </c>
      <c r="U196" t="str">
        <f>"https://portaletrasparenza.consorziobacchiglione.it/download/attodigara/6675/63ac45661ced0.PDF"</f>
        <v>https://portaletrasparenza.consorziobacchiglione.it/download/attodigara/6675/63ac45661ced0.PDF</v>
      </c>
      <c r="V196">
        <f>(SUBSTITUTE(Tabella1[[#This Row],[Importo di aggiudicazione]],".",","))-(SUBSTITUTE(  SUBSTITUTE(          SUBSTITUTE(Tabella1[[#This Row],[Dettaglio somme liquidate]],Tabella1[[#This Row],[CIG]]&amp;": [",""),"€ ]",""),".",","))</f>
        <v>440</v>
      </c>
    </row>
    <row r="197" spans="1:22" x14ac:dyDescent="0.3">
      <c r="A197" t="str">
        <f>"Affidamento"</f>
        <v>Affidamento</v>
      </c>
      <c r="B197" t="str">
        <f>"Modifica quadro automazione E.P.1 per comando controllo nuova pompa grasso Idrovora Baldon."</f>
        <v>Modifica quadro automazione E.P.1 per comando controllo nuova pompa grasso Idrovora Baldon.</v>
      </c>
      <c r="C197" t="str">
        <f>"Z591942094"</f>
        <v>Z591942094</v>
      </c>
      <c r="D197" t="str">
        <f>"04/11/2021"</f>
        <v>04/11/2021</v>
      </c>
      <c r="E197" t="str">
        <f>""</f>
        <v/>
      </c>
      <c r="F197" t="str">
        <f>""</f>
        <v/>
      </c>
      <c r="G197" t="str">
        <f>"580.00"</f>
        <v>580.00</v>
      </c>
      <c r="H197" t="str">
        <f>"Consorzio di bonifica Bacchiglione"</f>
        <v>Consorzio di bonifica Bacchiglione</v>
      </c>
      <c r="I197" t="str">
        <f>"92223390284"</f>
        <v>92223390284</v>
      </c>
      <c r="J197" t="str">
        <f>"23-AFFIDAMENTO DIRETTO"</f>
        <v>23-AFFIDAMENTO DIRETTO</v>
      </c>
      <c r="K197" t="str">
        <f>"04/04/2021"</f>
        <v>04/04/2021</v>
      </c>
      <c r="L197" t="str">
        <f>"26/05/2021"</f>
        <v>26/05/2021</v>
      </c>
      <c r="M197" t="str">
        <f>""</f>
        <v/>
      </c>
      <c r="N197" t="str">
        <f>"M.T.Elettric SNC Via Malipiera 48B 45014 Porto Viro RO"</f>
        <v>M.T.Elettric SNC Via Malipiera 48B 45014 Porto Viro RO</v>
      </c>
      <c r="O197" t="str">
        <f>"M.T.Elettric SNC Via Malipiera 48B 45014 Porto Viro RO"</f>
        <v>M.T.Elettric SNC Via Malipiera 48B 45014 Porto Viro RO</v>
      </c>
      <c r="P197" t="str">
        <f>"Z591942094: [580.00€ ]"</f>
        <v>Z591942094: [580.00€ ]</v>
      </c>
      <c r="Q197" t="str">
        <f>""</f>
        <v/>
      </c>
      <c r="R197" t="str">
        <f>""</f>
        <v/>
      </c>
      <c r="S197" t="str">
        <f>""</f>
        <v/>
      </c>
      <c r="T197" t="str">
        <f>"https://portaletrasparenza.consorziobacchiglione.it/dettagli/attodigara/292/modifica-quadro-automazione-e-p-1-per-comando-controllo-nuova-pompa-grasso-idrovora-baldon.html"</f>
        <v>https://portaletrasparenza.consorziobacchiglione.it/dettagli/attodigara/292/modifica-quadro-automazione-e-p-1-per-comando-controllo-nuova-pompa-grasso-idrovora-baldon.html</v>
      </c>
      <c r="U197" t="str">
        <f>""</f>
        <v/>
      </c>
      <c r="V1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8" spans="1:22" x14ac:dyDescent="0.3">
      <c r="A198" t="str">
        <f>"Affidamento"</f>
        <v>Affidamento</v>
      </c>
      <c r="B198" t="str">
        <f>"Fornitura e posa avviatori per motori elettrici elicopompe Idrovora Fogolana."</f>
        <v>Fornitura e posa avviatori per motori elettrici elicopompe Idrovora Fogolana.</v>
      </c>
      <c r="C198" t="str">
        <f>"Z1E19408D5"</f>
        <v>Z1E19408D5</v>
      </c>
      <c r="D198" t="str">
        <f>"04/11/2021"</f>
        <v>04/11/2021</v>
      </c>
      <c r="E198" t="str">
        <f>""</f>
        <v/>
      </c>
      <c r="F198" t="str">
        <f>""</f>
        <v/>
      </c>
      <c r="G198" t="str">
        <f>"3870.00"</f>
        <v>3870.00</v>
      </c>
      <c r="H198" t="str">
        <f>"Consorzio di bonifica Bacchiglione"</f>
        <v>Consorzio di bonifica Bacchiglione</v>
      </c>
      <c r="I198" t="str">
        <f>"92223390284"</f>
        <v>92223390284</v>
      </c>
      <c r="J198" t="str">
        <f>"23-AFFIDAMENTO DIRETTO"</f>
        <v>23-AFFIDAMENTO DIRETTO</v>
      </c>
      <c r="K198" t="str">
        <f>"04/04/2021"</f>
        <v>04/04/2021</v>
      </c>
      <c r="L198" t="str">
        <f>"10/08/2021"</f>
        <v>10/08/2021</v>
      </c>
      <c r="M198" t="str">
        <f>""</f>
        <v/>
      </c>
      <c r="N198" t="str">
        <f>"A.S.P. Tecnologie srl Via Padre Nicolini 29 35013 Cittadella PD"</f>
        <v>A.S.P. Tecnologie srl Via Padre Nicolini 29 35013 Cittadella PD</v>
      </c>
      <c r="O198" t="str">
        <f>"A.S.P. Tecnologie srl Via Padre Nicolini 29 35013 Cittadella PD"</f>
        <v>A.S.P. Tecnologie srl Via Padre Nicolini 29 35013 Cittadella PD</v>
      </c>
      <c r="P198" t="str">
        <f>"Z1E19408D5: [3870.00€ ]"</f>
        <v>Z1E19408D5: [3870.00€ ]</v>
      </c>
      <c r="Q198" t="str">
        <f>""</f>
        <v/>
      </c>
      <c r="R198" t="str">
        <f>""</f>
        <v/>
      </c>
      <c r="S198" t="str">
        <f>""</f>
        <v/>
      </c>
      <c r="T198" t="str">
        <f>"https://portaletrasparenza.consorziobacchiglione.it/dettagli/attodigara/291/fornitura-e-posa-avviatori-per-motori-elettrici-elicopompe-idrovora-fogolana.html"</f>
        <v>https://portaletrasparenza.consorziobacchiglione.it/dettagli/attodigara/291/fornitura-e-posa-avviatori-per-motori-elettrici-elicopompe-idrovora-fogolana.html</v>
      </c>
      <c r="U198" t="str">
        <f>""</f>
        <v/>
      </c>
      <c r="V1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9" spans="1:22" x14ac:dyDescent="0.3">
      <c r="A199" t="str">
        <f>"Affidamento"</f>
        <v>Affidamento</v>
      </c>
      <c r="B199" t="str">
        <f>"Servizio di videoispezione subacquea al sostegno Montalbano."</f>
        <v>Servizio di videoispezione subacquea al sostegno Montalbano.</v>
      </c>
      <c r="C199" t="str">
        <f>"Z13193F729"</f>
        <v>Z13193F729</v>
      </c>
      <c r="D199" t="str">
        <f>"04/11/2021"</f>
        <v>04/11/2021</v>
      </c>
      <c r="E199" t="str">
        <f>""</f>
        <v/>
      </c>
      <c r="F199" t="str">
        <f>""</f>
        <v/>
      </c>
      <c r="G199" t="str">
        <f>"1400.00"</f>
        <v>1400.00</v>
      </c>
      <c r="H199" t="str">
        <f>"Consorzio di bonifica Bacchiglione"</f>
        <v>Consorzio di bonifica Bacchiglione</v>
      </c>
      <c r="I199" t="str">
        <f>"92223390284"</f>
        <v>92223390284</v>
      </c>
      <c r="J199" t="str">
        <f>"23-AFFIDAMENTO DIRETTO"</f>
        <v>23-AFFIDAMENTO DIRETTO</v>
      </c>
      <c r="K199" t="str">
        <f>"04/04/2021"</f>
        <v>04/04/2021</v>
      </c>
      <c r="L199" t="str">
        <f>"18/05/2021"</f>
        <v>18/05/2021</v>
      </c>
      <c r="M199" t="str">
        <f>""</f>
        <v/>
      </c>
      <c r="N199" t="str">
        <f>"Trasmar SRL Via delle Macchine 49 30175 Porto Marghera VE"</f>
        <v>Trasmar SRL Via delle Macchine 49 30175 Porto Marghera VE</v>
      </c>
      <c r="O199" t="str">
        <f>"Trasmar SRL Via delle Macchine 49 30175 Porto Marghera VE"</f>
        <v>Trasmar SRL Via delle Macchine 49 30175 Porto Marghera VE</v>
      </c>
      <c r="P199" t="str">
        <f>"Z13193F729: [1400.00€ ]"</f>
        <v>Z13193F729: [1400.00€ ]</v>
      </c>
      <c r="Q199" t="str">
        <f>""</f>
        <v/>
      </c>
      <c r="R199" t="str">
        <f>""</f>
        <v/>
      </c>
      <c r="S199" t="str">
        <f>""</f>
        <v/>
      </c>
      <c r="T199" t="str">
        <f>"https://portaletrasparenza.consorziobacchiglione.it/dettagli/attodigara/290/servizio-di-videoispezione-subacquea-al-sostegno-montalbano.html"</f>
        <v>https://portaletrasparenza.consorziobacchiglione.it/dettagli/attodigara/290/servizio-di-videoispezione-subacquea-al-sostegno-montalbano.html</v>
      </c>
      <c r="U199" t="str">
        <f>""</f>
        <v/>
      </c>
      <c r="V1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00" spans="1:22" x14ac:dyDescent="0.3">
      <c r="A200" t="str">
        <f>"Affidamento"</f>
        <v>Affidamento</v>
      </c>
      <c r="B200" t="str">
        <f>"Lavori di copertura porzione fabbricato sede consorziale."</f>
        <v>Lavori di copertura porzione fabbricato sede consorziale.</v>
      </c>
      <c r="C200" t="str">
        <f>"Z17193F54C"</f>
        <v>Z17193F54C</v>
      </c>
      <c r="D200" t="str">
        <f>"04/11/2021"</f>
        <v>04/11/2021</v>
      </c>
      <c r="E200" t="str">
        <f>""</f>
        <v/>
      </c>
      <c r="F200" t="str">
        <f>""</f>
        <v/>
      </c>
      <c r="G200" t="str">
        <f>"22740.00"</f>
        <v>22740.00</v>
      </c>
      <c r="H200" t="str">
        <f>"Consorzio di bonifica Bacchiglione"</f>
        <v>Consorzio di bonifica Bacchiglione</v>
      </c>
      <c r="I200" t="str">
        <f>"92223390284"</f>
        <v>92223390284</v>
      </c>
      <c r="J200" t="str">
        <f>"23-AFFIDAMENTO DIRETTO"</f>
        <v>23-AFFIDAMENTO DIRETTO</v>
      </c>
      <c r="K200" t="str">
        <f>"04/04/2021"</f>
        <v>04/04/2021</v>
      </c>
      <c r="L200" t="str">
        <f>"06/09/2021"</f>
        <v>06/09/2021</v>
      </c>
      <c r="M200" t="str">
        <f>""</f>
        <v/>
      </c>
      <c r="N200" t="str">
        <f>"Destro Cesare Via G.Mandelli 1 35100 Padova"</f>
        <v>Destro Cesare Via G.Mandelli 1 35100 Padova</v>
      </c>
      <c r="O200" t="str">
        <f>"Destro Cesare Via G.Mandelli 1 35100 Padova"</f>
        <v>Destro Cesare Via G.Mandelli 1 35100 Padova</v>
      </c>
      <c r="P200" t="str">
        <f>"Z17193F54C: [22740.00€ ]"</f>
        <v>Z17193F54C: [22740.00€ ]</v>
      </c>
      <c r="Q200" t="str">
        <f>""</f>
        <v/>
      </c>
      <c r="R200" t="str">
        <f>""</f>
        <v/>
      </c>
      <c r="S200" t="str">
        <f>""</f>
        <v/>
      </c>
      <c r="T200" t="str">
        <f>"https://portaletrasparenza.consorziobacchiglione.it/dettagli/attodigara/289/lavori-di-copertura-porzione-fabbricato-sede-consorziale.html"</f>
        <v>https://portaletrasparenza.consorziobacchiglione.it/dettagli/attodigara/289/lavori-di-copertura-porzione-fabbricato-sede-consorziale.html</v>
      </c>
      <c r="U200" t="str">
        <f>""</f>
        <v/>
      </c>
      <c r="V2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01" spans="1:22" x14ac:dyDescent="0.3">
      <c r="A201" t="str">
        <f>"Affidamento"</f>
        <v>Affidamento</v>
      </c>
      <c r="B201" t="str">
        <f>"Diserbo degli scoli consorziali per l'anno 2016 - Bacino Colli Euganei (cottimo 05/2016)"</f>
        <v>Diserbo degli scoli consorziali per l'anno 2016 - Bacino Colli Euganei (cottimo 05/2016)</v>
      </c>
      <c r="C201" t="str">
        <f>"6649790C4B"</f>
        <v>6649790C4B</v>
      </c>
      <c r="D201" t="str">
        <f>"04/11/2021"</f>
        <v>04/11/2021</v>
      </c>
      <c r="E201" t="str">
        <f>""</f>
        <v/>
      </c>
      <c r="F201" t="str">
        <f>""</f>
        <v/>
      </c>
      <c r="G201" t="str">
        <f>"77280.29"</f>
        <v>77280.29</v>
      </c>
      <c r="H201" t="str">
        <f>"Consorzio di bonifica Bacchiglione"</f>
        <v>Consorzio di bonifica Bacchiglione</v>
      </c>
      <c r="I201" t="str">
        <f>"92223390284"</f>
        <v>92223390284</v>
      </c>
      <c r="J201" t="str">
        <f>"08-AFFIDAMENTO IN ECONOMIA - COTTIMO FIDUCIARIO"</f>
        <v>08-AFFIDAMENTO IN ECONOMIA - COTTIMO FIDUCIARIO</v>
      </c>
      <c r="K201" t="str">
        <f>"04/05/2021"</f>
        <v>04/05/2021</v>
      </c>
      <c r="L201" t="str">
        <f>"02/10/2021"</f>
        <v>02/10/2021</v>
      </c>
      <c r="M201" t="str">
        <f>""</f>
        <v/>
      </c>
      <c r="N201" t="str">
        <f>"Pittarello Stefano | GARDIN SANDRO | Azienda Agricola 2G | Loriscavi di Bergamin Loris | Beltrame Michele"</f>
        <v>Pittarello Stefano | GARDIN SANDRO | Azienda Agricola 2G | Loriscavi di Bergamin Loris | Beltrame Michele</v>
      </c>
      <c r="O201" t="str">
        <f>"Pittarello Stefano"</f>
        <v>Pittarello Stefano</v>
      </c>
      <c r="P201" t="str">
        <f>"6649790C4B: [77280.27€ ]"</f>
        <v>6649790C4B: [77280.27€ ]</v>
      </c>
      <c r="Q201" t="str">
        <f>""</f>
        <v/>
      </c>
      <c r="R201" t="str">
        <f>""</f>
        <v/>
      </c>
      <c r="S201" t="str">
        <f>""</f>
        <v/>
      </c>
      <c r="T201" t="str">
        <f>"https://portaletrasparenza.consorziobacchiglione.it/dettagli/attodigara/8/diserbo-degli-scoli-consorziali-per-l-anno-2016-bacino-colli-euganei-cottimo-05-2016.html"</f>
        <v>https://portaletrasparenza.consorziobacchiglione.it/dettagli/attodigara/8/diserbo-degli-scoli-consorziali-per-l-anno-2016-bacino-colli-euganei-cottimo-05-2016.html</v>
      </c>
      <c r="U201" t="str">
        <f>""</f>
        <v/>
      </c>
      <c r="V201">
        <f>(SUBSTITUTE(Tabella1[[#This Row],[Importo di aggiudicazione]],".",","))-(SUBSTITUTE(  SUBSTITUTE(          SUBSTITUTE(Tabella1[[#This Row],[Dettaglio somme liquidate]],Tabella1[[#This Row],[CIG]]&amp;": [",""),"€ ]",""),".",","))</f>
        <v>1.9999999989522621E-2</v>
      </c>
    </row>
    <row r="202" spans="1:22" x14ac:dyDescent="0.3">
      <c r="A202" t="str">
        <f>"Affidamento"</f>
        <v>Affidamento</v>
      </c>
      <c r="B202" t="str">
        <f>"Effettuazione corso di formazione iniziale sulla sicurezza per n. 1 dipendenti e corso di aggiornamento sulla sicurezza per n. 3 dipendenti."</f>
        <v>Effettuazione corso di formazione iniziale sulla sicurezza per n. 1 dipendenti e corso di aggiornamento sulla sicurezza per n. 3 dipendenti.</v>
      </c>
      <c r="C202" t="str">
        <f>"ZCE319B700"</f>
        <v>ZCE319B700</v>
      </c>
      <c r="D202" t="str">
        <f>"07/05/2021"</f>
        <v>07/05/2021</v>
      </c>
      <c r="E202" t="str">
        <f>""</f>
        <v/>
      </c>
      <c r="F202" t="str">
        <f>""</f>
        <v/>
      </c>
      <c r="G202" t="str">
        <f>"346.50"</f>
        <v>346.50</v>
      </c>
      <c r="H202" t="str">
        <f>"Consorzio di bonifica Bacchiglione"</f>
        <v>Consorzio di bonifica Bacchiglione</v>
      </c>
      <c r="I202" t="str">
        <f>"92223390284"</f>
        <v>92223390284</v>
      </c>
      <c r="J202" t="str">
        <f>"23-AFFIDAMENTO DIRETTO"</f>
        <v>23-AFFIDAMENTO DIRETTO</v>
      </c>
      <c r="K202" t="str">
        <f>"04/05/2021"</f>
        <v>04/05/2021</v>
      </c>
      <c r="L202" t="str">
        <f>"02/08/2021"</f>
        <v>02/08/2021</v>
      </c>
      <c r="M202" t="str">
        <f>""</f>
        <v/>
      </c>
      <c r="N202" t="str">
        <f>"Scuola Edile Padova Via Basilicata 10 35127 (Camin) Padova"</f>
        <v>Scuola Edile Padova Via Basilicata 10 35127 (Camin) Padova</v>
      </c>
      <c r="O202" t="str">
        <f>"Scuola Edile Padova Via Basilicata 10 35127 (Camin) Padova"</f>
        <v>Scuola Edile Padova Via Basilicata 10 35127 (Camin) Padova</v>
      </c>
      <c r="P202" t="str">
        <f>"ZCE319B700: [346.50€ ]"</f>
        <v>ZCE319B700: [346.50€ ]</v>
      </c>
      <c r="Q202" t="str">
        <f>""</f>
        <v/>
      </c>
      <c r="R202" t="str">
        <f>""</f>
        <v/>
      </c>
      <c r="S202" t="str">
        <f>""</f>
        <v/>
      </c>
      <c r="T202" t="str">
        <f>"https://portaletrasparenza.consorziobacchiglione.it/dettagli/attodigara/6852/effettuazione-corso-di-formazione-iniziale-sulla-sicurezza-per-n-1-dipendenti-e-corso-di-aggiornamento-sulla-sicurezza-per-n-3-dipendenti.html"</f>
        <v>https://portaletrasparenza.consorziobacchiglione.it/dettagli/attodigara/6852/effettuazione-corso-di-formazione-iniziale-sulla-sicurezza-per-n-1-dipendenti-e-corso-di-aggiornamento-sulla-sicurezza-per-n-3-dipendenti.html</v>
      </c>
      <c r="U202" t="str">
        <f>"https://portaletrasparenza.consorziobacchiglione.it/download/attodigara/6852/63ac45893adca.PDF"</f>
        <v>https://portaletrasparenza.consorziobacchiglione.it/download/attodigara/6852/63ac45893adca.PDF</v>
      </c>
      <c r="V2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03" spans="1:22" x14ac:dyDescent="0.3">
      <c r="A203" t="str">
        <f>"Affidamento"</f>
        <v>Affidamento</v>
      </c>
      <c r="B203" t="str">
        <f>"Revisione estintori in dotazione presso Impianti Consortili distribuiti nel comprensorio"</f>
        <v>Revisione estintori in dotazione presso Impianti Consortili distribuiti nel comprensorio</v>
      </c>
      <c r="C203" t="str">
        <f>"Z7A3201182"</f>
        <v>Z7A3201182</v>
      </c>
      <c r="D203" t="str">
        <f>"07/06/2021"</f>
        <v>07/06/2021</v>
      </c>
      <c r="E203" t="str">
        <f>""</f>
        <v/>
      </c>
      <c r="F203" t="str">
        <f>""</f>
        <v/>
      </c>
      <c r="G203" t="str">
        <f>"1207.40"</f>
        <v>1207.40</v>
      </c>
      <c r="H203" t="str">
        <f>"Consorzio di bonifica Bacchiglione"</f>
        <v>Consorzio di bonifica Bacchiglione</v>
      </c>
      <c r="I203" t="str">
        <f>"92223390284"</f>
        <v>92223390284</v>
      </c>
      <c r="J203" t="str">
        <f>"23-AFFIDAMENTO DIRETTO"</f>
        <v>23-AFFIDAMENTO DIRETTO</v>
      </c>
      <c r="K203" t="str">
        <f>"04/06/2021"</f>
        <v>04/06/2021</v>
      </c>
      <c r="L203" t="str">
        <f>"17/06/2021"</f>
        <v>17/06/2021</v>
      </c>
      <c r="M203" t="str">
        <f>""</f>
        <v/>
      </c>
      <c r="N203" t="str">
        <f>"Bergamaschi Antincendi Antinfortunistica Padova s.r.l. Via G. Galilei 2-I 35030 Caselle di Selvazzano PD"</f>
        <v>Bergamaschi Antincendi Antinfortunistica Padova s.r.l. Via G. Galilei 2-I 35030 Caselle di Selvazzano PD</v>
      </c>
      <c r="O203" t="str">
        <f>"Bergamaschi Antincendi Antinfortunistica Padova s.r.l. Via G. Galilei 2-I 35030 Caselle di Selvazzano PD"</f>
        <v>Bergamaschi Antincendi Antinfortunistica Padova s.r.l. Via G. Galilei 2-I 35030 Caselle di Selvazzano PD</v>
      </c>
      <c r="P203" t="str">
        <f>"Z7A3201182: [1207.40€ ]"</f>
        <v>Z7A3201182: [1207.40€ ]</v>
      </c>
      <c r="Q203" t="str">
        <f>""</f>
        <v/>
      </c>
      <c r="R203" t="str">
        <f>""</f>
        <v/>
      </c>
      <c r="S203" t="str">
        <f>""</f>
        <v/>
      </c>
      <c r="T203" t="str">
        <f>"https://portaletrasparenza.consorziobacchiglione.it/dettagli/attodigara/6926/revisione-estintori-in-dotazione-presso-impianti-consortili-distribuiti-nel-comprensorio.html"</f>
        <v>https://portaletrasparenza.consorziobacchiglione.it/dettagli/attodigara/6926/revisione-estintori-in-dotazione-presso-impianti-consortili-distribuiti-nel-comprensorio.html</v>
      </c>
      <c r="U203" t="str">
        <f>"https://portaletrasparenza.consorziobacchiglione.it/download/attodigara/6926/63ac4595d580c.PDF"</f>
        <v>https://portaletrasparenza.consorziobacchiglione.it/download/attodigara/6926/63ac4595d580c.PDF</v>
      </c>
      <c r="V2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04" spans="1:22" x14ac:dyDescent="0.3">
      <c r="A204" t="str">
        <f>"Affidamento"</f>
        <v>Affidamento</v>
      </c>
      <c r="B204" t="str">
        <f>"Inversione inverno/estate condizionamento museo a S.Margherita"</f>
        <v>Inversione inverno/estate condizionamento museo a S.Margherita</v>
      </c>
      <c r="C204" t="str">
        <f>"Z593201075"</f>
        <v>Z593201075</v>
      </c>
      <c r="D204" t="str">
        <f>"07/06/2021"</f>
        <v>07/06/2021</v>
      </c>
      <c r="E204" t="str">
        <f>""</f>
        <v/>
      </c>
      <c r="F204" t="str">
        <f>""</f>
        <v/>
      </c>
      <c r="G204" t="str">
        <f>"80.00"</f>
        <v>80.00</v>
      </c>
      <c r="H204" t="str">
        <f>"Consorzio di bonifica Bacchiglione"</f>
        <v>Consorzio di bonifica Bacchiglione</v>
      </c>
      <c r="I204" t="str">
        <f>"92223390284"</f>
        <v>92223390284</v>
      </c>
      <c r="J204" t="str">
        <f>"23-AFFIDAMENTO DIRETTO"</f>
        <v>23-AFFIDAMENTO DIRETTO</v>
      </c>
      <c r="K204" t="str">
        <f>"04/06/2021"</f>
        <v>04/06/2021</v>
      </c>
      <c r="L204" t="str">
        <f>"29/06/2021"</f>
        <v>29/06/2021</v>
      </c>
      <c r="M204" t="str">
        <f>""</f>
        <v/>
      </c>
      <c r="N204" t="str">
        <f>"Giraldo Impianti SNC di Giraldo Danilo e Silvio Via Flli Cervi 1-II 30010 Campolongo Maggiore VE"</f>
        <v>Giraldo Impianti SNC di Giraldo Danilo e Silvio Via Flli Cervi 1-II 30010 Campolongo Maggiore VE</v>
      </c>
      <c r="O204" t="str">
        <f>"Giraldo Impianti SNC di Giraldo Danilo e Silvio Via Flli Cervi 1-II 30010 Campolongo Maggiore VE"</f>
        <v>Giraldo Impianti SNC di Giraldo Danilo e Silvio Via Flli Cervi 1-II 30010 Campolongo Maggiore VE</v>
      </c>
      <c r="P204" t="str">
        <f>"Z593201075: [80.00€ ]"</f>
        <v>Z593201075: [80.00€ ]</v>
      </c>
      <c r="Q204" t="str">
        <f>""</f>
        <v/>
      </c>
      <c r="R204" t="str">
        <f>""</f>
        <v/>
      </c>
      <c r="S204" t="str">
        <f>""</f>
        <v/>
      </c>
      <c r="T204" t="str">
        <f>"https://portaletrasparenza.consorziobacchiglione.it/dettagli/attodigara/6925/inversione-inverno-estate-condizionamento-museo-a-s-margherita.html"</f>
        <v>https://portaletrasparenza.consorziobacchiglione.it/dettagli/attodigara/6925/inversione-inverno-estate-condizionamento-museo-a-s-margherita.html</v>
      </c>
      <c r="U204" t="str">
        <f>"https://portaletrasparenza.consorziobacchiglione.it/download/attodigara/6925/63ac45959ce4d.PDF"</f>
        <v>https://portaletrasparenza.consorziobacchiglione.it/download/attodigara/6925/63ac45959ce4d.PDF</v>
      </c>
      <c r="V2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05" spans="1:22" x14ac:dyDescent="0.3">
      <c r="A205" t="str">
        <f>"Affidamento"</f>
        <v>Affidamento</v>
      </c>
      <c r="B205" t="str">
        <f>"Manutenzione e riparazione mezzo con targa: DA564ZE"</f>
        <v>Manutenzione e riparazione mezzo con targa: DA564ZE</v>
      </c>
      <c r="C205" t="str">
        <f>"ZE031FE181"</f>
        <v>ZE031FE181</v>
      </c>
      <c r="D205" t="str">
        <f>"07/06/2021"</f>
        <v>07/06/2021</v>
      </c>
      <c r="E205" t="str">
        <f>""</f>
        <v/>
      </c>
      <c r="F205" t="str">
        <f>""</f>
        <v/>
      </c>
      <c r="G205" t="str">
        <f>"975.85"</f>
        <v>975.85</v>
      </c>
      <c r="H205" t="str">
        <f>"Consorzio di bonifica Bacchiglione"</f>
        <v>Consorzio di bonifica Bacchiglione</v>
      </c>
      <c r="I205" t="str">
        <f>"92223390284"</f>
        <v>92223390284</v>
      </c>
      <c r="J205" t="str">
        <f>"23-AFFIDAMENTO DIRETTO"</f>
        <v>23-AFFIDAMENTO DIRETTO</v>
      </c>
      <c r="K205" t="str">
        <f>"04/06/2021"</f>
        <v>04/06/2021</v>
      </c>
      <c r="L205" t="str">
        <f>"30/06/2021"</f>
        <v>30/06/2021</v>
      </c>
      <c r="M205" t="str">
        <f>""</f>
        <v/>
      </c>
      <c r="N205" t="str">
        <f>"Officina Autotreni Carraro Franco srl Via Gelsi 79 35028 Piove di Sacco PD"</f>
        <v>Officina Autotreni Carraro Franco srl Via Gelsi 79 35028 Piove di Sacco PD</v>
      </c>
      <c r="O205" t="str">
        <f>"Officina Autotreni Carraro Franco srl Via Gelsi 79 35028 Piove di Sacco PD"</f>
        <v>Officina Autotreni Carraro Franco srl Via Gelsi 79 35028 Piove di Sacco PD</v>
      </c>
      <c r="P205" t="str">
        <f>"ZE031FE181: [975.85€ ]"</f>
        <v>ZE031FE181: [975.85€ ]</v>
      </c>
      <c r="Q205" t="str">
        <f>""</f>
        <v/>
      </c>
      <c r="R205" t="str">
        <f>""</f>
        <v/>
      </c>
      <c r="S205" t="str">
        <f>""</f>
        <v/>
      </c>
      <c r="T205" t="str">
        <f>"https://portaletrasparenza.consorziobacchiglione.it/dettagli/attodigara/6924/manutenzione-e-riparazione-mezzo-con-targa-da564ze.html"</f>
        <v>https://portaletrasparenza.consorziobacchiglione.it/dettagli/attodigara/6924/manutenzione-e-riparazione-mezzo-con-targa-da564ze.html</v>
      </c>
      <c r="U205" t="str">
        <f>"https://portaletrasparenza.consorziobacchiglione.it/download/attodigara/6924/63ac45956438b.PDF"</f>
        <v>https://portaletrasparenza.consorziobacchiglione.it/download/attodigara/6924/63ac45956438b.PDF</v>
      </c>
      <c r="V20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06" spans="1:22" x14ac:dyDescent="0.3">
      <c r="A206" t="str">
        <f>"Affidamento"</f>
        <v>Affidamento</v>
      </c>
      <c r="B206" t="str">
        <f>"Controllo annuale gru con rilascio scheda del mezzo con targa: CT189YR"</f>
        <v>Controllo annuale gru con rilascio scheda del mezzo con targa: CT189YR</v>
      </c>
      <c r="C206" t="str">
        <f>"Z9731FDE7F"</f>
        <v>Z9731FDE7F</v>
      </c>
      <c r="D206" t="str">
        <f>"07/06/2021"</f>
        <v>07/06/2021</v>
      </c>
      <c r="E206" t="str">
        <f>""</f>
        <v/>
      </c>
      <c r="F206" t="str">
        <f>""</f>
        <v/>
      </c>
      <c r="G206" t="str">
        <f>"1253.00"</f>
        <v>1253.00</v>
      </c>
      <c r="H206" t="str">
        <f>"Consorzio di bonifica Bacchiglione"</f>
        <v>Consorzio di bonifica Bacchiglione</v>
      </c>
      <c r="I206" t="str">
        <f>"92223390284"</f>
        <v>92223390284</v>
      </c>
      <c r="J206" t="str">
        <f>"23-AFFIDAMENTO DIRETTO"</f>
        <v>23-AFFIDAMENTO DIRETTO</v>
      </c>
      <c r="K206" t="str">
        <f>"04/06/2021"</f>
        <v>04/06/2021</v>
      </c>
      <c r="L206" t="str">
        <f>"17/06/2021"</f>
        <v>17/06/2021</v>
      </c>
      <c r="M206" t="str">
        <f>""</f>
        <v/>
      </c>
      <c r="N206" t="str">
        <f>"Moressa s.r.l. Via Cuccara 2 35020 Due Carrare PD"</f>
        <v>Moressa s.r.l. Via Cuccara 2 35020 Due Carrare PD</v>
      </c>
      <c r="O206" t="str">
        <f>"Moressa s.r.l. Via Cuccara 2 35020 Due Carrare PD"</f>
        <v>Moressa s.r.l. Via Cuccara 2 35020 Due Carrare PD</v>
      </c>
      <c r="P206" t="str">
        <f>"Z9731FDE7F: [1253.00€ ]"</f>
        <v>Z9731FDE7F: [1253.00€ ]</v>
      </c>
      <c r="Q206" t="str">
        <f>""</f>
        <v/>
      </c>
      <c r="R206" t="str">
        <f>""</f>
        <v/>
      </c>
      <c r="S206" t="str">
        <f>""</f>
        <v/>
      </c>
      <c r="T206" t="str">
        <f>"https://portaletrasparenza.consorziobacchiglione.it/dettagli/attodigara/6923/controllo-annuale-gru-con-rilascio-scheda-del-mezzo-con-targa-ct189yr.html"</f>
        <v>https://portaletrasparenza.consorziobacchiglione.it/dettagli/attodigara/6923/controllo-annuale-gru-con-rilascio-scheda-del-mezzo-con-targa-ct189yr.html</v>
      </c>
      <c r="U206" t="str">
        <f>"https://portaletrasparenza.consorziobacchiglione.it/download/attodigara/6923/63ac45952bbbb.PDF"</f>
        <v>https://portaletrasparenza.consorziobacchiglione.it/download/attodigara/6923/63ac45952bbbb.PDF</v>
      </c>
      <c r="V2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07" spans="1:22" x14ac:dyDescent="0.3">
      <c r="A207" t="str">
        <f>"Affidamento"</f>
        <v>Affidamento</v>
      </c>
      <c r="B207" t="str">
        <f>"Riparazione decespugliatore FS 120 R presso C.O.S.Margherita"</f>
        <v>Riparazione decespugliatore FS 120 R presso C.O.S.Margherita</v>
      </c>
      <c r="C207" t="str">
        <f>"Z5431FDD1B"</f>
        <v>Z5431FDD1B</v>
      </c>
      <c r="D207" t="str">
        <f>"07/06/2021"</f>
        <v>07/06/2021</v>
      </c>
      <c r="E207" t="str">
        <f>""</f>
        <v/>
      </c>
      <c r="F207" t="str">
        <f>""</f>
        <v/>
      </c>
      <c r="G207" t="str">
        <f>"28.69"</f>
        <v>28.69</v>
      </c>
      <c r="H207" t="str">
        <f>"Consorzio di bonifica Bacchiglione"</f>
        <v>Consorzio di bonifica Bacchiglione</v>
      </c>
      <c r="I207" t="str">
        <f>"92223390284"</f>
        <v>92223390284</v>
      </c>
      <c r="J207" t="str">
        <f>"23-AFFIDAMENTO DIRETTO"</f>
        <v>23-AFFIDAMENTO DIRETTO</v>
      </c>
      <c r="K207" t="str">
        <f>"04/06/2021"</f>
        <v>04/06/2021</v>
      </c>
      <c r="L207" t="str">
        <f>"17/06/2021"</f>
        <v>17/06/2021</v>
      </c>
      <c r="M207" t="str">
        <f>""</f>
        <v/>
      </c>
      <c r="N207" t="str">
        <f>"Mini Motor di Vettorato Gabriele Via Puccini 3 35020 Brugine PD"</f>
        <v>Mini Motor di Vettorato Gabriele Via Puccini 3 35020 Brugine PD</v>
      </c>
      <c r="O207" t="str">
        <f>"Mini Motor di Vettorato Gabriele Via Puccini 3 35020 Brugine PD"</f>
        <v>Mini Motor di Vettorato Gabriele Via Puccini 3 35020 Brugine PD</v>
      </c>
      <c r="P207" t="str">
        <f>"Z5431FDD1B: [28.69€ ]"</f>
        <v>Z5431FDD1B: [28.69€ ]</v>
      </c>
      <c r="Q207" t="str">
        <f>""</f>
        <v/>
      </c>
      <c r="R207" t="str">
        <f>""</f>
        <v/>
      </c>
      <c r="S207" t="str">
        <f>""</f>
        <v/>
      </c>
      <c r="T207" t="str">
        <f>"https://portaletrasparenza.consorziobacchiglione.it/dettagli/attodigara/6922/riparazione-decespugliatore-fs-120-r-presso-c-o-s-margherita.html"</f>
        <v>https://portaletrasparenza.consorziobacchiglione.it/dettagli/attodigara/6922/riparazione-decespugliatore-fs-120-r-presso-c-o-s-margherita.html</v>
      </c>
      <c r="U207" t="str">
        <f>"https://portaletrasparenza.consorziobacchiglione.it/download/attodigara/6922/63ac4594e75c5.PDF"</f>
        <v>https://portaletrasparenza.consorziobacchiglione.it/download/attodigara/6922/63ac4594e75c5.PDF</v>
      </c>
      <c r="V20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08" spans="1:22" x14ac:dyDescent="0.3">
      <c r="A208" t="str">
        <f>"Affidamento"</f>
        <v>Affidamento</v>
      </c>
      <c r="B208" t="str">
        <f>"Manutenzione e riparazione mezzo con targa: EW930NS"</f>
        <v>Manutenzione e riparazione mezzo con targa: EW930NS</v>
      </c>
      <c r="C208" t="str">
        <f>"Z1D31FDB07"</f>
        <v>Z1D31FDB07</v>
      </c>
      <c r="D208" t="str">
        <f>"07/06/2021"</f>
        <v>07/06/2021</v>
      </c>
      <c r="E208" t="str">
        <f>""</f>
        <v/>
      </c>
      <c r="F208" t="str">
        <f>""</f>
        <v/>
      </c>
      <c r="G208" t="str">
        <f>"72.50"</f>
        <v>72.50</v>
      </c>
      <c r="H208" t="str">
        <f>"Consorzio di bonifica Bacchiglione"</f>
        <v>Consorzio di bonifica Bacchiglione</v>
      </c>
      <c r="I208" t="str">
        <f>"92223390284"</f>
        <v>92223390284</v>
      </c>
      <c r="J208" t="str">
        <f>"23-AFFIDAMENTO DIRETTO"</f>
        <v>23-AFFIDAMENTO DIRETTO</v>
      </c>
      <c r="K208" t="str">
        <f>"04/06/2021"</f>
        <v>04/06/2021</v>
      </c>
      <c r="L208" t="str">
        <f>"17/06/2021"</f>
        <v>17/06/2021</v>
      </c>
      <c r="M208" t="str">
        <f>""</f>
        <v/>
      </c>
      <c r="N208" t="str">
        <f>"Officina Biesse S.n.c. Via Matteotti 24 35020 Arzergrande PD"</f>
        <v>Officina Biesse S.n.c. Via Matteotti 24 35020 Arzergrande PD</v>
      </c>
      <c r="O208" t="str">
        <f>"Officina Biesse S.n.c. Via Matteotti 24 35020 Arzergrande PD"</f>
        <v>Officina Biesse S.n.c. Via Matteotti 24 35020 Arzergrande PD</v>
      </c>
      <c r="P208" t="str">
        <f>"Z1D31FDB07: [72.50€ ]"</f>
        <v>Z1D31FDB07: [72.50€ ]</v>
      </c>
      <c r="Q208" t="str">
        <f>""</f>
        <v/>
      </c>
      <c r="R208" t="str">
        <f>""</f>
        <v/>
      </c>
      <c r="S208" t="str">
        <f>""</f>
        <v/>
      </c>
      <c r="T208" t="str">
        <f>"https://portaletrasparenza.consorziobacchiglione.it/dettagli/attodigara/6921/manutenzione-e-riparazione-mezzo-con-targa-ew930ns.html"</f>
        <v>https://portaletrasparenza.consorziobacchiglione.it/dettagli/attodigara/6921/manutenzione-e-riparazione-mezzo-con-targa-ew930ns.html</v>
      </c>
      <c r="U208" t="str">
        <f>"https://portaletrasparenza.consorziobacchiglione.it/download/attodigara/6921/63ac4594aea0f.PDF"</f>
        <v>https://portaletrasparenza.consorziobacchiglione.it/download/attodigara/6921/63ac4594aea0f.PDF</v>
      </c>
      <c r="V2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09" spans="1:22" x14ac:dyDescent="0.3">
      <c r="A209" t="str">
        <f>"Affidamento"</f>
        <v>Affidamento</v>
      </c>
      <c r="B209" t="str">
        <f>"Acquisto nuova Fiat Panda 4x4."</f>
        <v>Acquisto nuova Fiat Panda 4x4.</v>
      </c>
      <c r="C209" t="str">
        <f>"Z101ADC1CF"</f>
        <v>Z101ADC1CF</v>
      </c>
      <c r="D209" t="str">
        <f>"04/11/2021"</f>
        <v>04/11/2021</v>
      </c>
      <c r="E209" t="str">
        <f>""</f>
        <v/>
      </c>
      <c r="F209" t="str">
        <f>""</f>
        <v/>
      </c>
      <c r="G209" t="str">
        <f>"13852.46"</f>
        <v>13852.46</v>
      </c>
      <c r="H209" t="str">
        <f>"Consorzio di bonifica Bacchiglione"</f>
        <v>Consorzio di bonifica Bacchiglione</v>
      </c>
      <c r="I209" t="str">
        <f>"92223390284"</f>
        <v>92223390284</v>
      </c>
      <c r="J209" t="str">
        <f>"23-AFFIDAMENTO DIRETTO"</f>
        <v>23-AFFIDAMENTO DIRETTO</v>
      </c>
      <c r="K209" t="str">
        <f>"04/08/2021"</f>
        <v>04/08/2021</v>
      </c>
      <c r="L209" t="str">
        <f>"30/11/2021"</f>
        <v>30/11/2021</v>
      </c>
      <c r="M209" t="str">
        <f>""</f>
        <v/>
      </c>
      <c r="N209" t="str">
        <f>"Bi-Elle Auto S.P.A. Via Piave 14-B 35043 Monselice PD | Ceccato Automobili S.P.A. Via dell'Economia 2-6 36016 Thiene VI | Pavan S.P.A. Via Borgo Padova 17 35028 Piove di Sacco PD"</f>
        <v>Bi-Elle Auto S.P.A. Via Piave 14-B 35043 Monselice PD | Ceccato Automobili S.P.A. Via dell'Economia 2-6 36016 Thiene VI | Pavan S.P.A. Via Borgo Padova 17 35028 Piove di Sacco PD</v>
      </c>
      <c r="O209" t="str">
        <f>"Bi-Elle Auto S.P.A. Via Piave 14-B 35043 Monselice PD"</f>
        <v>Bi-Elle Auto S.P.A. Via Piave 14-B 35043 Monselice PD</v>
      </c>
      <c r="P209" t="s">
        <v>285</v>
      </c>
      <c r="Q209" t="str">
        <f>""</f>
        <v/>
      </c>
      <c r="R209" t="str">
        <f>""</f>
        <v/>
      </c>
      <c r="S209" t="str">
        <f>""</f>
        <v/>
      </c>
      <c r="T209" t="str">
        <f>"https://portaletrasparenza.consorziobacchiglione.it/dettagli/attodigara/650/acquisto-nuova-fiat-panda-4x4.html"</f>
        <v>https://portaletrasparenza.consorziobacchiglione.it/dettagli/attodigara/650/acquisto-nuova-fiat-panda-4x4.html</v>
      </c>
      <c r="U209" t="str">
        <f>""</f>
        <v/>
      </c>
      <c r="V2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10" spans="1:22" x14ac:dyDescent="0.3">
      <c r="A210" t="str">
        <f>"Affidamento"</f>
        <v>Affidamento</v>
      </c>
      <c r="B210" t="str">
        <f>"Inversione gomme ant/post, riparazione camera d'aria su mezzi con targa: PDAF480, EP107XC, AGZ838, elettropompa n 2."</f>
        <v>Inversione gomme ant/post, riparazione camera d'aria su mezzi con targa: PDAF480, EP107XC, AGZ838, elettropompa n 2.</v>
      </c>
      <c r="C210" t="str">
        <f>"ZF11ADD255"</f>
        <v>ZF11ADD255</v>
      </c>
      <c r="D210" t="str">
        <f>"04/11/2021"</f>
        <v>04/11/2021</v>
      </c>
      <c r="E210" t="str">
        <f>""</f>
        <v/>
      </c>
      <c r="F210" t="str">
        <f>""</f>
        <v/>
      </c>
      <c r="G210" t="str">
        <f>"189.30"</f>
        <v>189.30</v>
      </c>
      <c r="H210" t="str">
        <f>"Consorzio di bonifica Bacchiglione"</f>
        <v>Consorzio di bonifica Bacchiglione</v>
      </c>
      <c r="I210" t="str">
        <f>"92223390284"</f>
        <v>92223390284</v>
      </c>
      <c r="J210" t="str">
        <f>"23-AFFIDAMENTO DIRETTO"</f>
        <v>23-AFFIDAMENTO DIRETTO</v>
      </c>
      <c r="K210" t="str">
        <f>"04/08/2021"</f>
        <v>04/08/2021</v>
      </c>
      <c r="L210" t="str">
        <f>"29/09/2021"</f>
        <v>29/09/2021</v>
      </c>
      <c r="M210" t="str">
        <f>""</f>
        <v/>
      </c>
      <c r="N210" t="str">
        <f>"Galesso Roberto Via San Rocco 52B 35028 Piove di Sacco PD"</f>
        <v>Galesso Roberto Via San Rocco 52B 35028 Piove di Sacco PD</v>
      </c>
      <c r="O210" t="str">
        <f>"Galesso Roberto Via San Rocco 52B 35028 Piove di Sacco PD"</f>
        <v>Galesso Roberto Via San Rocco 52B 35028 Piove di Sacco PD</v>
      </c>
      <c r="P210" t="str">
        <f>"ZF11ADD255: [189.30€ ]"</f>
        <v>ZF11ADD255: [189.30€ ]</v>
      </c>
      <c r="Q210" t="str">
        <f>""</f>
        <v/>
      </c>
      <c r="R210" t="str">
        <f>""</f>
        <v/>
      </c>
      <c r="S210" t="str">
        <f>""</f>
        <v/>
      </c>
      <c r="T210" t="str">
        <f>"https://portaletrasparenza.consorziobacchiglione.it/dettagli/attodigara/652/inversione-gomme-ant-post-riparazione-camera-d-aria-su-mezzi-con-targa-pdaf480-ep107xc-agz838-elettropompa-n-2.html"</f>
        <v>https://portaletrasparenza.consorziobacchiglione.it/dettagli/attodigara/652/inversione-gomme-ant-post-riparazione-camera-d-aria-su-mezzi-con-targa-pdaf480-ep107xc-agz838-elettropompa-n-2.html</v>
      </c>
      <c r="U210" t="str">
        <f>""</f>
        <v/>
      </c>
      <c r="V2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11" spans="1:22" x14ac:dyDescent="0.3">
      <c r="A211" t="str">
        <f>"Affidamento"</f>
        <v>Affidamento</v>
      </c>
      <c r="B211" t="str">
        <f>"Riparazione e manutenzione mezzo con targa: PDAF480"</f>
        <v>Riparazione e manutenzione mezzo con targa: PDAF480</v>
      </c>
      <c r="C211" t="str">
        <f>"Z3F1ADC898"</f>
        <v>Z3F1ADC898</v>
      </c>
      <c r="D211" t="str">
        <f>"04/11/2021"</f>
        <v>04/11/2021</v>
      </c>
      <c r="E211" t="str">
        <f>""</f>
        <v/>
      </c>
      <c r="F211" t="str">
        <f>""</f>
        <v/>
      </c>
      <c r="G211" t="str">
        <f>"384.74"</f>
        <v>384.74</v>
      </c>
      <c r="H211" t="str">
        <f>"Consorzio di bonifica Bacchiglione"</f>
        <v>Consorzio di bonifica Bacchiglione</v>
      </c>
      <c r="I211" t="str">
        <f>"92223390284"</f>
        <v>92223390284</v>
      </c>
      <c r="J211" t="str">
        <f>"23-AFFIDAMENTO DIRETTO"</f>
        <v>23-AFFIDAMENTO DIRETTO</v>
      </c>
      <c r="K211" t="str">
        <f>"04/08/2021"</f>
        <v>04/08/2021</v>
      </c>
      <c r="L211" t="str">
        <f>"16/09/2021"</f>
        <v>16/09/2021</v>
      </c>
      <c r="M211" t="str">
        <f>""</f>
        <v/>
      </c>
      <c r="N211" t="str">
        <f>"Adriatica Commerciale Macchine s.r.l. Via dell'Artigianato 5 35020 Due Carrare PD"</f>
        <v>Adriatica Commerciale Macchine s.r.l. Via dell'Artigianato 5 35020 Due Carrare PD</v>
      </c>
      <c r="O211" t="str">
        <f>"Adriatica Commerciale Macchine s.r.l. Via dell'Artigianato 5 35020 Due Carrare PD"</f>
        <v>Adriatica Commerciale Macchine s.r.l. Via dell'Artigianato 5 35020 Due Carrare PD</v>
      </c>
      <c r="P211" t="str">
        <f>"Z3F1ADC898: [384.74€ ]"</f>
        <v>Z3F1ADC898: [384.74€ ]</v>
      </c>
      <c r="Q211" t="str">
        <f>""</f>
        <v/>
      </c>
      <c r="R211" t="str">
        <f>""</f>
        <v/>
      </c>
      <c r="S211" t="str">
        <f>""</f>
        <v/>
      </c>
      <c r="T211" t="str">
        <f>"https://portaletrasparenza.consorziobacchiglione.it/dettagli/attodigara/651/riparazione-e-manutenzione-mezzo-con-targa-pdaf480.html"</f>
        <v>https://portaletrasparenza.consorziobacchiglione.it/dettagli/attodigara/651/riparazione-e-manutenzione-mezzo-con-targa-pdaf480.html</v>
      </c>
      <c r="U211" t="str">
        <f>""</f>
        <v/>
      </c>
      <c r="V21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12" spans="1:22" x14ac:dyDescent="0.3">
      <c r="A212" t="str">
        <f>"Affidamento"</f>
        <v>Affidamento</v>
      </c>
      <c r="B212" t="str">
        <f>"Fornitura ricambi per benne su mezzi con targa: AJP870, PDAH157."</f>
        <v>Fornitura ricambi per benne su mezzi con targa: AJP870, PDAH157.</v>
      </c>
      <c r="C212" t="str">
        <f>"ZCF1ADC058"</f>
        <v>ZCF1ADC058</v>
      </c>
      <c r="D212" t="str">
        <f>"04/11/2021"</f>
        <v>04/11/2021</v>
      </c>
      <c r="E212" t="str">
        <f>""</f>
        <v/>
      </c>
      <c r="F212" t="str">
        <f>""</f>
        <v/>
      </c>
      <c r="G212" t="str">
        <f>"1602.40"</f>
        <v>1602.40</v>
      </c>
      <c r="H212" t="str">
        <f>"Consorzio di bonifica Bacchiglione"</f>
        <v>Consorzio di bonifica Bacchiglione</v>
      </c>
      <c r="I212" t="str">
        <f>"92223390284"</f>
        <v>92223390284</v>
      </c>
      <c r="J212" t="str">
        <f>"23-AFFIDAMENTO DIRETTO"</f>
        <v>23-AFFIDAMENTO DIRETTO</v>
      </c>
      <c r="K212" t="str">
        <f>"04/08/2021"</f>
        <v>04/08/2021</v>
      </c>
      <c r="L212" t="str">
        <f>"29/09/2021"</f>
        <v>29/09/2021</v>
      </c>
      <c r="M212" t="str">
        <f>""</f>
        <v/>
      </c>
      <c r="N212" t="str">
        <f>"Eredi di Stivanello Sergio S.a.s. Via Padova 156 35025 Cartura PD"</f>
        <v>Eredi di Stivanello Sergio S.a.s. Via Padova 156 35025 Cartura PD</v>
      </c>
      <c r="O212" t="str">
        <f>"Eredi di Stivanello Sergio S.a.s. Via Padova 156 35025 Cartura PD"</f>
        <v>Eredi di Stivanello Sergio S.a.s. Via Padova 156 35025 Cartura PD</v>
      </c>
      <c r="P212" t="str">
        <f>"ZCF1ADC058: [1602.40€ ]"</f>
        <v>ZCF1ADC058: [1602.40€ ]</v>
      </c>
      <c r="Q212" t="str">
        <f>""</f>
        <v/>
      </c>
      <c r="R212" t="str">
        <f>""</f>
        <v/>
      </c>
      <c r="S212" t="str">
        <f>""</f>
        <v/>
      </c>
      <c r="T212" t="str">
        <f>"https://portaletrasparenza.consorziobacchiglione.it/dettagli/attodigara/649/fornitura-ricambi-per-benne-su-mezzi-con-targa-ajp870-pdah157.html"</f>
        <v>https://portaletrasparenza.consorziobacchiglione.it/dettagli/attodigara/649/fornitura-ricambi-per-benne-su-mezzi-con-targa-ajp870-pdah157.html</v>
      </c>
      <c r="U212" t="str">
        <f>""</f>
        <v/>
      </c>
      <c r="V2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13" spans="1:22" x14ac:dyDescent="0.3">
      <c r="A213" t="str">
        <f>"Affidamento"</f>
        <v>Affidamento</v>
      </c>
      <c r="B213" t="str">
        <f>"Fornitura pannello Emiltouch rigenerato su mezzo con targa CB934XY."</f>
        <v>Fornitura pannello Emiltouch rigenerato su mezzo con targa CB934XY.</v>
      </c>
      <c r="C213" t="str">
        <f>"ZD41ADBDC5"</f>
        <v>ZD41ADBDC5</v>
      </c>
      <c r="D213" t="str">
        <f>"04/11/2021"</f>
        <v>04/11/2021</v>
      </c>
      <c r="E213" t="str">
        <f>""</f>
        <v/>
      </c>
      <c r="F213" t="str">
        <f>""</f>
        <v/>
      </c>
      <c r="G213" t="str">
        <f>"580.00"</f>
        <v>580.00</v>
      </c>
      <c r="H213" t="str">
        <f>"Consorzio di bonifica Bacchiglione"</f>
        <v>Consorzio di bonifica Bacchiglione</v>
      </c>
      <c r="I213" t="str">
        <f>"92223390284"</f>
        <v>92223390284</v>
      </c>
      <c r="J213" t="str">
        <f>"23-AFFIDAMENTO DIRETTO"</f>
        <v>23-AFFIDAMENTO DIRETTO</v>
      </c>
      <c r="K213" t="str">
        <f>"04/08/2021"</f>
        <v>04/08/2021</v>
      </c>
      <c r="L213" t="str">
        <f>"29/09/2021"</f>
        <v>29/09/2021</v>
      </c>
      <c r="M213" t="str">
        <f>""</f>
        <v/>
      </c>
      <c r="N213" t="str">
        <f>"Emiliana Serbatoi Via Largo Maestri del Lavoro 40 41011 Campogalliano MO"</f>
        <v>Emiliana Serbatoi Via Largo Maestri del Lavoro 40 41011 Campogalliano MO</v>
      </c>
      <c r="O213" t="str">
        <f>"Emiliana Serbatoi Via Largo Maestri del Lavoro 40 41011 Campogalliano MO"</f>
        <v>Emiliana Serbatoi Via Largo Maestri del Lavoro 40 41011 Campogalliano MO</v>
      </c>
      <c r="P213" t="str">
        <f>"ZD41ADBDC5: [580.00€ ]"</f>
        <v>ZD41ADBDC5: [580.00€ ]</v>
      </c>
      <c r="Q213" t="str">
        <f>""</f>
        <v/>
      </c>
      <c r="R213" t="str">
        <f>""</f>
        <v/>
      </c>
      <c r="S213" t="str">
        <f>""</f>
        <v/>
      </c>
      <c r="T213" t="str">
        <f>"https://portaletrasparenza.consorziobacchiglione.it/dettagli/attodigara/648/fornitura-pannello-emiltouch-rigenerato-su-mezzo-con-targa-cb934xy.html"</f>
        <v>https://portaletrasparenza.consorziobacchiglione.it/dettagli/attodigara/648/fornitura-pannello-emiltouch-rigenerato-su-mezzo-con-targa-cb934xy.html</v>
      </c>
      <c r="U213" t="str">
        <f>""</f>
        <v/>
      </c>
      <c r="V2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14" spans="1:22" x14ac:dyDescent="0.3">
      <c r="A214" t="str">
        <f>"Affidamento"</f>
        <v>Affidamento</v>
      </c>
      <c r="B214" t="str">
        <f>"Ripristino e riposizionamento quadro elettrico a servizio della centrale termica fabbricato sede Consorziale."</f>
        <v>Ripristino e riposizionamento quadro elettrico a servizio della centrale termica fabbricato sede Consorziale.</v>
      </c>
      <c r="C214" t="str">
        <f>"ZF01ADBA88"</f>
        <v>ZF01ADBA88</v>
      </c>
      <c r="D214" t="str">
        <f>"04/11/2021"</f>
        <v>04/11/2021</v>
      </c>
      <c r="E214" t="str">
        <f>""</f>
        <v/>
      </c>
      <c r="F214" t="str">
        <f>""</f>
        <v/>
      </c>
      <c r="G214" t="str">
        <f>"1490.00"</f>
        <v>1490.00</v>
      </c>
      <c r="H214" t="str">
        <f>"Consorzio di bonifica Bacchiglione"</f>
        <v>Consorzio di bonifica Bacchiglione</v>
      </c>
      <c r="I214" t="str">
        <f>"92223390284"</f>
        <v>92223390284</v>
      </c>
      <c r="J214" t="str">
        <f>"23-AFFIDAMENTO DIRETTO"</f>
        <v>23-AFFIDAMENTO DIRETTO</v>
      </c>
      <c r="K214" t="str">
        <f>"04/08/2021"</f>
        <v>04/08/2021</v>
      </c>
      <c r="L214" t="str">
        <f>"29/09/2021"</f>
        <v>29/09/2021</v>
      </c>
      <c r="M214" t="str">
        <f>""</f>
        <v/>
      </c>
      <c r="N214" t="str">
        <f>"A.S.P. Tecnologie srl Via Padre Nicolini 29 35013 Cittadella PD"</f>
        <v>A.S.P. Tecnologie srl Via Padre Nicolini 29 35013 Cittadella PD</v>
      </c>
      <c r="O214" t="str">
        <f>"A.S.P. Tecnologie srl Via Padre Nicolini 29 35013 Cittadella PD"</f>
        <v>A.S.P. Tecnologie srl Via Padre Nicolini 29 35013 Cittadella PD</v>
      </c>
      <c r="P214" t="str">
        <f>"ZF01ADBA88: [1490.00€ ]"</f>
        <v>ZF01ADBA88: [1490.00€ ]</v>
      </c>
      <c r="Q214" t="str">
        <f>""</f>
        <v/>
      </c>
      <c r="R214" t="str">
        <f>""</f>
        <v/>
      </c>
      <c r="S214" t="str">
        <f>""</f>
        <v/>
      </c>
      <c r="T214" t="str">
        <f>"https://portaletrasparenza.consorziobacchiglione.it/dettagli/attodigara/647/ripristino-e-riposizionamento-quadro-elettrico-a-servizio-della-centrale-termica-fabbricato-sede-consorziale.html"</f>
        <v>https://portaletrasparenza.consorziobacchiglione.it/dettagli/attodigara/647/ripristino-e-riposizionamento-quadro-elettrico-a-servizio-della-centrale-termica-fabbricato-sede-consorziale.html</v>
      </c>
      <c r="U214" t="str">
        <f>""</f>
        <v/>
      </c>
      <c r="V21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15" spans="1:22" x14ac:dyDescent="0.3">
      <c r="A215" t="str">
        <f>"Affidamento"</f>
        <v>Affidamento</v>
      </c>
      <c r="B215" t="str">
        <f>"BOCCIONI ACQUA, BICCHIERI E NOLEGGIO DISPENSER"</f>
        <v>BOCCIONI ACQUA, BICCHIERI E NOLEGGIO DISPENSER</v>
      </c>
      <c r="C215" t="str">
        <f>"ZAB1ADCB3B"</f>
        <v>ZAB1ADCB3B</v>
      </c>
      <c r="D215" t="str">
        <f>"04/11/2021"</f>
        <v>04/11/2021</v>
      </c>
      <c r="E215" t="str">
        <f>""</f>
        <v/>
      </c>
      <c r="F215" t="str">
        <f>""</f>
        <v/>
      </c>
      <c r="G215" t="str">
        <f>"1639.34"</f>
        <v>1639.34</v>
      </c>
      <c r="H215" t="str">
        <f>"Consorzio di bonifica Bacchiglione"</f>
        <v>Consorzio di bonifica Bacchiglione</v>
      </c>
      <c r="I215" t="str">
        <f>"92223390284"</f>
        <v>92223390284</v>
      </c>
      <c r="J215" t="str">
        <f>"23-AFFIDAMENTO DIRETTO"</f>
        <v>23-AFFIDAMENTO DIRETTO</v>
      </c>
      <c r="K215" t="str">
        <f>"04/08/2021"</f>
        <v>04/08/2021</v>
      </c>
      <c r="L215" t="str">
        <f>"09/12/2021"</f>
        <v>09/12/2021</v>
      </c>
      <c r="M215" t="str">
        <f>""</f>
        <v/>
      </c>
      <c r="N215" t="str">
        <f>"AQUADOC S.R.L."</f>
        <v>AQUADOC S.R.L.</v>
      </c>
      <c r="O215" t="str">
        <f>"AQUADOC S.R.L."</f>
        <v>AQUADOC S.R.L.</v>
      </c>
      <c r="P215" t="str">
        <f>"ZAB1ADCB3B: [1564.35€ ]"</f>
        <v>ZAB1ADCB3B: [1564.35€ ]</v>
      </c>
      <c r="Q215" t="str">
        <f>""</f>
        <v/>
      </c>
      <c r="R215" t="str">
        <f>""</f>
        <v/>
      </c>
      <c r="S215" t="str">
        <f>""</f>
        <v/>
      </c>
      <c r="T215" t="str">
        <f>"https://portaletrasparenza.consorziobacchiglione.it/dettagli/attodigara/646/boccioni-acqua-bicchieri-e-noleggio-dispenser.html"</f>
        <v>https://portaletrasparenza.consorziobacchiglione.it/dettagli/attodigara/646/boccioni-acqua-bicchieri-e-noleggio-dispenser.html</v>
      </c>
      <c r="U215" t="str">
        <f>""</f>
        <v/>
      </c>
      <c r="V215">
        <f>(SUBSTITUTE(Tabella1[[#This Row],[Importo di aggiudicazione]],".",","))-(SUBSTITUTE(  SUBSTITUTE(          SUBSTITUTE(Tabella1[[#This Row],[Dettaglio somme liquidate]],Tabella1[[#This Row],[CIG]]&amp;": [",""),"€ ]",""),".",","))</f>
        <v>74.990000000000009</v>
      </c>
    </row>
    <row r="216" spans="1:22" x14ac:dyDescent="0.3">
      <c r="A216" t="str">
        <f>"Affidamento"</f>
        <v>Affidamento</v>
      </c>
      <c r="B216" t="str">
        <f>"Fornitura materiale oleodinamico per il Sostegno Riva Tagliata"</f>
        <v>Fornitura materiale oleodinamico per il Sostegno Riva Tagliata</v>
      </c>
      <c r="C216" t="str">
        <f>"Z4732B1D29"</f>
        <v>Z4732B1D29</v>
      </c>
      <c r="D216" t="str">
        <f>"06/08/2021"</f>
        <v>06/08/2021</v>
      </c>
      <c r="E216" t="str">
        <f>""</f>
        <v/>
      </c>
      <c r="F216" t="str">
        <f>""</f>
        <v/>
      </c>
      <c r="G216" t="str">
        <f>"47.14"</f>
        <v>47.14</v>
      </c>
      <c r="H216" t="str">
        <f>"Consorzio di bonifica Bacchiglione"</f>
        <v>Consorzio di bonifica Bacchiglione</v>
      </c>
      <c r="I216" t="str">
        <f>"92223390284"</f>
        <v>92223390284</v>
      </c>
      <c r="J216" t="str">
        <f>"23-AFFIDAMENTO DIRETTO"</f>
        <v>23-AFFIDAMENTO DIRETTO</v>
      </c>
      <c r="K216" t="str">
        <f>"04/08/2021"</f>
        <v>04/08/2021</v>
      </c>
      <c r="L216" t="str">
        <f>"31/07/2021"</f>
        <v>31/07/2021</v>
      </c>
      <c r="M216" t="str">
        <f>""</f>
        <v/>
      </c>
      <c r="N216" t="str">
        <f>"Polytec S.R.L. Via Canova, 6-8 35020 S.Angelo di Piove di Sacco (PD)"</f>
        <v>Polytec S.R.L. Via Canova, 6-8 35020 S.Angelo di Piove di Sacco (PD)</v>
      </c>
      <c r="O216" t="str">
        <f>"Polytec S.R.L. Via Canova, 6-8 35020 S.Angelo di Piove di Sacco (PD)"</f>
        <v>Polytec S.R.L. Via Canova, 6-8 35020 S.Angelo di Piove di Sacco (PD)</v>
      </c>
      <c r="P216" t="str">
        <f>"Z4732B1D29: [47.14€ ]"</f>
        <v>Z4732B1D29: [47.14€ ]</v>
      </c>
      <c r="Q216" t="str">
        <f>""</f>
        <v/>
      </c>
      <c r="R216" t="str">
        <f>""</f>
        <v/>
      </c>
      <c r="S216" t="str">
        <f>""</f>
        <v/>
      </c>
      <c r="T216" t="str">
        <f>"https://portaletrasparenza.consorziobacchiglione.it/dettagli/attodigara/7059/fornitura-materiale-oleodinamico-per-il-sostegno-riva-tagliata.html"</f>
        <v>https://portaletrasparenza.consorziobacchiglione.it/dettagli/attodigara/7059/fornitura-materiale-oleodinamico-per-il-sostegno-riva-tagliata.html</v>
      </c>
      <c r="U216" t="str">
        <f>"https://portaletrasparenza.consorziobacchiglione.it/download/attodigara/7059/63ac45b3725f7.PDF"</f>
        <v>https://portaletrasparenza.consorziobacchiglione.it/download/attodigara/7059/63ac45b3725f7.PDF</v>
      </c>
      <c r="V21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17" spans="1:22" x14ac:dyDescent="0.3">
      <c r="A217" t="str">
        <f>"Affidamento"</f>
        <v>Affidamento</v>
      </c>
      <c r="B217" t="str">
        <f>"Fornitura 50 m³ di calcestruzzo RCK 30 per lavori presso Bacino Montà Portello e 50 m³ di calcestruzzo RCK 25 per lavori presso Bacino Pratiarcati"</f>
        <v>Fornitura 50 m³ di calcestruzzo RCK 30 per lavori presso Bacino Montà Portello e 50 m³ di calcestruzzo RCK 25 per lavori presso Bacino Pratiarcati</v>
      </c>
      <c r="C217" t="str">
        <f>"Z4132B179F"</f>
        <v>Z4132B179F</v>
      </c>
      <c r="D217" t="str">
        <f>"06/08/2021"</f>
        <v>06/08/2021</v>
      </c>
      <c r="E217" t="str">
        <f>""</f>
        <v/>
      </c>
      <c r="F217" t="str">
        <f>""</f>
        <v/>
      </c>
      <c r="G217" t="str">
        <f>"7000.00"</f>
        <v>7000.00</v>
      </c>
      <c r="H217" t="str">
        <f>"Consorzio di bonifica Bacchiglione"</f>
        <v>Consorzio di bonifica Bacchiglione</v>
      </c>
      <c r="I217" t="str">
        <f>"92223390284"</f>
        <v>92223390284</v>
      </c>
      <c r="J217" t="str">
        <f>"23-AFFIDAMENTO DIRETTO"</f>
        <v>23-AFFIDAMENTO DIRETTO</v>
      </c>
      <c r="K217" t="str">
        <f>"04/08/2021"</f>
        <v>04/08/2021</v>
      </c>
      <c r="L217" t="str">
        <f>"31/12/2021"</f>
        <v>31/12/2021</v>
      </c>
      <c r="M217" t="str">
        <f>""</f>
        <v/>
      </c>
      <c r="N217" t="str">
        <f>"Calcestruzzi Donà s.r.l. Via Fossalta 2 35025 Cartura PD"</f>
        <v>Calcestruzzi Donà s.r.l. Via Fossalta 2 35025 Cartura PD</v>
      </c>
      <c r="O217" t="str">
        <f>"Calcestruzzi Donà s.r.l. Via Fossalta 2 35025 Cartura PD"</f>
        <v>Calcestruzzi Donà s.r.l. Via Fossalta 2 35025 Cartura PD</v>
      </c>
      <c r="P217" t="str">
        <f>"Z4132B179F: [1597.55€ ]"</f>
        <v>Z4132B179F: [1597.55€ ]</v>
      </c>
      <c r="Q217" t="str">
        <f>""</f>
        <v/>
      </c>
      <c r="R217" t="str">
        <f>""</f>
        <v/>
      </c>
      <c r="S217" t="str">
        <f>""</f>
        <v/>
      </c>
      <c r="T217" t="str">
        <f>"https://portaletrasparenza.consorziobacchiglione.it/dettagli/attodigara/7058/fornitura-50-m3-di-calcestruzzo-rck-30-per-lavori-presso-bacino-monta-portello-e-50-m3-di-calcestruzzo-rck-25-per-lavori-presso-bacino-pratiarcati.html"</f>
        <v>https://portaletrasparenza.consorziobacchiglione.it/dettagli/attodigara/7058/fornitura-50-m3-di-calcestruzzo-rck-30-per-lavori-presso-bacino-monta-portello-e-50-m3-di-calcestruzzo-rck-25-per-lavori-presso-bacino-pratiarcati.html</v>
      </c>
      <c r="U217" t="str">
        <f>"https://portaletrasparenza.consorziobacchiglione.it/download/attodigara/7058/63e646e268d75.PDF"</f>
        <v>https://portaletrasparenza.consorziobacchiglione.it/download/attodigara/7058/63e646e268d75.PDF</v>
      </c>
      <c r="V217">
        <f>(SUBSTITUTE(Tabella1[[#This Row],[Importo di aggiudicazione]],".",","))-(SUBSTITUTE(  SUBSTITUTE(          SUBSTITUTE(Tabella1[[#This Row],[Dettaglio somme liquidate]],Tabella1[[#This Row],[CIG]]&amp;": [",""),"€ ]",""),".",","))</f>
        <v>5402.45</v>
      </c>
    </row>
    <row r="218" spans="1:22" x14ac:dyDescent="0.3">
      <c r="A218" t="str">
        <f>"Affidamento"</f>
        <v>Affidamento</v>
      </c>
      <c r="B218" t="str">
        <f>"Servizio di postalizzazione dei solleciti relativi agli insoluti anno 2021 monorata."</f>
        <v>Servizio di postalizzazione dei solleciti relativi agli insoluti anno 2021 monorata.</v>
      </c>
      <c r="C218" t="str">
        <f>"ZE3334BDF2"</f>
        <v>ZE3334BDF2</v>
      </c>
      <c r="D218" t="str">
        <f>"04/10/2021"</f>
        <v>04/10/2021</v>
      </c>
      <c r="E218" t="str">
        <f>""</f>
        <v/>
      </c>
      <c r="F218" t="str">
        <f>""</f>
        <v/>
      </c>
      <c r="G218" t="str">
        <f>"11130.00"</f>
        <v>11130.00</v>
      </c>
      <c r="H218" t="str">
        <f>"Consorzio di bonifica Bacchiglione"</f>
        <v>Consorzio di bonifica Bacchiglione</v>
      </c>
      <c r="I218" t="str">
        <f>"92223390284"</f>
        <v>92223390284</v>
      </c>
      <c r="J218" t="str">
        <f>"23-AFFIDAMENTO DIRETTO"</f>
        <v>23-AFFIDAMENTO DIRETTO</v>
      </c>
      <c r="K218" t="str">
        <f>"04/10/2021"</f>
        <v>04/10/2021</v>
      </c>
      <c r="L218" t="str">
        <f>"13/10/2021"</f>
        <v>13/10/2021</v>
      </c>
      <c r="M218" t="str">
        <f>""</f>
        <v/>
      </c>
      <c r="N218" t="str">
        <f>"POSTE ITALIANE"</f>
        <v>POSTE ITALIANE</v>
      </c>
      <c r="O218" t="str">
        <f>"POSTE ITALIANE"</f>
        <v>POSTE ITALIANE</v>
      </c>
      <c r="P218" t="str">
        <f>"ZE3334BDF2: [9720.14€ ]"</f>
        <v>ZE3334BDF2: [9720.14€ ]</v>
      </c>
      <c r="Q218" t="str">
        <f>""</f>
        <v/>
      </c>
      <c r="R218" t="str">
        <f>""</f>
        <v/>
      </c>
      <c r="S218" t="str">
        <f>""</f>
        <v/>
      </c>
      <c r="T218" t="str">
        <f>"https://portaletrasparenza.consorziobacchiglione.it/dettagli/attodigara/7187/servizio-di-postalizzazione-dei-solleciti-relativi-agli-insoluti-anno-2021-monorata.html"</f>
        <v>https://portaletrasparenza.consorziobacchiglione.it/dettagli/attodigara/7187/servizio-di-postalizzazione-dei-solleciti-relativi-agli-insoluti-anno-2021-monorata.html</v>
      </c>
      <c r="U218" t="str">
        <f>"https://portaletrasparenza.consorziobacchiglione.it/download/attodigara/7187/63ac45d367a8d.PDF"</f>
        <v>https://portaletrasparenza.consorziobacchiglione.it/download/attodigara/7187/63ac45d367a8d.PDF</v>
      </c>
      <c r="V218">
        <f>(SUBSTITUTE(Tabella1[[#This Row],[Importo di aggiudicazione]],".",","))-(SUBSTITUTE(  SUBSTITUTE(          SUBSTITUTE(Tabella1[[#This Row],[Dettaglio somme liquidate]],Tabella1[[#This Row],[CIG]]&amp;": [",""),"€ ]",""),".",","))</f>
        <v>1409.8600000000006</v>
      </c>
    </row>
    <row r="219" spans="1:22" x14ac:dyDescent="0.3">
      <c r="A219" t="str">
        <f>"Affidamento"</f>
        <v>Affidamento</v>
      </c>
      <c r="B219" t="str">
        <f>"Prelievo ed analisi chimiche su campioni sedimento presso scolo Degora, scolo Piovego, Fosso Cimitero Maggiore, scolo Sagredo, scolo Orsaro, scolo Acque Straniere"</f>
        <v>Prelievo ed analisi chimiche su campioni sedimento presso scolo Degora, scolo Piovego, Fosso Cimitero Maggiore, scolo Sagredo, scolo Orsaro, scolo Acque Straniere</v>
      </c>
      <c r="C219" t="str">
        <f>"ZC3334CED0"</f>
        <v>ZC3334CED0</v>
      </c>
      <c r="D219" t="str">
        <f>"05/10/2021"</f>
        <v>05/10/2021</v>
      </c>
      <c r="E219" t="str">
        <f>""</f>
        <v/>
      </c>
      <c r="F219" t="str">
        <f>""</f>
        <v/>
      </c>
      <c r="G219" t="str">
        <f>"6764.00"</f>
        <v>6764.00</v>
      </c>
      <c r="H219" t="str">
        <f>"Consorzio di bonifica Bacchiglione"</f>
        <v>Consorzio di bonifica Bacchiglione</v>
      </c>
      <c r="I219" t="str">
        <f>"92223390284"</f>
        <v>92223390284</v>
      </c>
      <c r="J219" t="str">
        <f>"23-AFFIDAMENTO DIRETTO"</f>
        <v>23-AFFIDAMENTO DIRETTO</v>
      </c>
      <c r="K219" t="str">
        <f>"04/10/2021"</f>
        <v>04/10/2021</v>
      </c>
      <c r="L219" t="str">
        <f>"13/12/2021"</f>
        <v>13/12/2021</v>
      </c>
      <c r="M219" t="str">
        <f>""</f>
        <v/>
      </c>
      <c r="N219" t="str">
        <f>"Geologia Tecnica sas di Vorlicek P.A. E C. Via Martiri della Libertà 29 35042 Este PD"</f>
        <v>Geologia Tecnica sas di Vorlicek P.A. E C. Via Martiri della Libertà 29 35042 Este PD</v>
      </c>
      <c r="O219" t="str">
        <f>"Geologia Tecnica sas di Vorlicek P.A. E C. Via Martiri della Libertà 29 35042 Este PD"</f>
        <v>Geologia Tecnica sas di Vorlicek P.A. E C. Via Martiri della Libertà 29 35042 Este PD</v>
      </c>
      <c r="P219" t="s">
        <v>191</v>
      </c>
      <c r="Q219" t="str">
        <f>""</f>
        <v/>
      </c>
      <c r="R219" t="str">
        <f>""</f>
        <v/>
      </c>
      <c r="S219" t="str">
        <f>""</f>
        <v/>
      </c>
      <c r="T219" t="str">
        <f>"https://portaletrasparenza.consorziobacchiglione.it/dettagli/attodigara/7192/prelievo-ed-analisi-chimiche-su-campioni-sedimento-presso-scolo-degora-scolo-piovego-fosso-cimitero-maggiore-scolo-sagredo-scolo-orsaro-scolo-acque-straniere.html"</f>
        <v>https://portaletrasparenza.consorziobacchiglione.it/dettagli/attodigara/7192/prelievo-ed-analisi-chimiche-su-campioni-sedimento-presso-scolo-degora-scolo-piovego-fosso-cimitero-maggiore-scolo-sagredo-scolo-orsaro-scolo-acque-straniere.html</v>
      </c>
      <c r="U219" t="str">
        <f>"https://portaletrasparenza.consorziobacchiglione.it/download/attodigara/7192/63ac45d514e95.PDF"</f>
        <v>https://portaletrasparenza.consorziobacchiglione.it/download/attodigara/7192/63ac45d514e95.PDF</v>
      </c>
      <c r="V21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20" spans="1:22" x14ac:dyDescent="0.3">
      <c r="A220" t="str">
        <f>"Affidamento"</f>
        <v>Affidamento</v>
      </c>
      <c r="B220" t="str">
        <f>"Fornitura ricambi per braccio decespugliatore del mezzo targato: AJR631"</f>
        <v>Fornitura ricambi per braccio decespugliatore del mezzo targato: AJR631</v>
      </c>
      <c r="C220" t="str">
        <f>"Z5F334AA0E"</f>
        <v>Z5F334AA0E</v>
      </c>
      <c r="D220" t="str">
        <f>"05/10/2021"</f>
        <v>05/10/2021</v>
      </c>
      <c r="E220" t="str">
        <f>""</f>
        <v/>
      </c>
      <c r="F220" t="str">
        <f>""</f>
        <v/>
      </c>
      <c r="G220" t="str">
        <f>"2382.19"</f>
        <v>2382.19</v>
      </c>
      <c r="H220" t="str">
        <f>"Consorzio di bonifica Bacchiglione"</f>
        <v>Consorzio di bonifica Bacchiglione</v>
      </c>
      <c r="I220" t="str">
        <f>"92223390284"</f>
        <v>92223390284</v>
      </c>
      <c r="J220" t="str">
        <f>"23-AFFIDAMENTO DIRETTO"</f>
        <v>23-AFFIDAMENTO DIRETTO</v>
      </c>
      <c r="K220" t="str">
        <f>"04/10/2021"</f>
        <v>04/10/2021</v>
      </c>
      <c r="L220" t="str">
        <f>"15/10/2021"</f>
        <v>15/10/2021</v>
      </c>
      <c r="M220" t="str">
        <f>""</f>
        <v/>
      </c>
      <c r="N220" t="str">
        <f>"Hymach s.r.l. Viale del Commercio 73 45039 Stienta RO"</f>
        <v>Hymach s.r.l. Viale del Commercio 73 45039 Stienta RO</v>
      </c>
      <c r="O220" t="str">
        <f>"Hymach s.r.l. Viale del Commercio 73 45039 Stienta RO"</f>
        <v>Hymach s.r.l. Viale del Commercio 73 45039 Stienta RO</v>
      </c>
      <c r="P220" t="s">
        <v>209</v>
      </c>
      <c r="Q220" t="str">
        <f>""</f>
        <v/>
      </c>
      <c r="R220" t="str">
        <f>""</f>
        <v/>
      </c>
      <c r="S220" t="str">
        <f>""</f>
        <v/>
      </c>
      <c r="T220" t="str">
        <f>"https://portaletrasparenza.consorziobacchiglione.it/dettagli/attodigara/7189/fornitura-ricambi-per-braccio-decespugliatore-del-mezzo-targato-ajr631.html"</f>
        <v>https://portaletrasparenza.consorziobacchiglione.it/dettagli/attodigara/7189/fornitura-ricambi-per-braccio-decespugliatore-del-mezzo-targato-ajr631.html</v>
      </c>
      <c r="U220" t="str">
        <f>"https://portaletrasparenza.consorziobacchiglione.it/download/attodigara/7189/63ac45d450a80.PDF"</f>
        <v>https://portaletrasparenza.consorziobacchiglione.it/download/attodigara/7189/63ac45d450a80.PDF</v>
      </c>
      <c r="V22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21" spans="1:22" x14ac:dyDescent="0.3">
      <c r="A221" t="str">
        <f>"Affidamento"</f>
        <v>Affidamento</v>
      </c>
      <c r="B221" t="str">
        <f>"Sostituzione cambio completo, frizione e olio cambio del mezzo targato: EW924ED"</f>
        <v>Sostituzione cambio completo, frizione e olio cambio del mezzo targato: EW924ED</v>
      </c>
      <c r="C221" t="str">
        <f>"Z94334C02F"</f>
        <v>Z94334C02F</v>
      </c>
      <c r="D221" t="str">
        <f>"05/10/2021"</f>
        <v>05/10/2021</v>
      </c>
      <c r="E221" t="str">
        <f>""</f>
        <v/>
      </c>
      <c r="F221" t="str">
        <f>""</f>
        <v/>
      </c>
      <c r="G221" t="str">
        <f>"1690.00"</f>
        <v>1690.00</v>
      </c>
      <c r="H221" t="str">
        <f>"Consorzio di bonifica Bacchiglione"</f>
        <v>Consorzio di bonifica Bacchiglione</v>
      </c>
      <c r="I221" t="str">
        <f>"92223390284"</f>
        <v>92223390284</v>
      </c>
      <c r="J221" t="str">
        <f>"23-AFFIDAMENTO DIRETTO"</f>
        <v>23-AFFIDAMENTO DIRETTO</v>
      </c>
      <c r="K221" t="str">
        <f>"04/10/2021"</f>
        <v>04/10/2021</v>
      </c>
      <c r="L221" t="str">
        <f>"14/10/2021"</f>
        <v>14/10/2021</v>
      </c>
      <c r="M221" t="str">
        <f>""</f>
        <v/>
      </c>
      <c r="N221" t="str">
        <f>"Autoservice sas via Brentella 4 35020 Codevigo PD"</f>
        <v>Autoservice sas via Brentella 4 35020 Codevigo PD</v>
      </c>
      <c r="O221" t="str">
        <f>"Autoservice sas via Brentella 4 35020 Codevigo PD"</f>
        <v>Autoservice sas via Brentella 4 35020 Codevigo PD</v>
      </c>
      <c r="P221" t="s">
        <v>225</v>
      </c>
      <c r="Q221" t="str">
        <f>""</f>
        <v/>
      </c>
      <c r="R221" t="str">
        <f>""</f>
        <v/>
      </c>
      <c r="S221" t="str">
        <f>""</f>
        <v/>
      </c>
      <c r="T221" t="str">
        <f>"https://portaletrasparenza.consorziobacchiglione.it/dettagli/attodigara/7191/sostituzione-cambio-completo-frizione-e-olio-cambio-del-mezzo-targato-ew924ed.html"</f>
        <v>https://portaletrasparenza.consorziobacchiglione.it/dettagli/attodigara/7191/sostituzione-cambio-completo-frizione-e-olio-cambio-del-mezzo-targato-ew924ed.html</v>
      </c>
      <c r="U221" t="str">
        <f>"https://portaletrasparenza.consorziobacchiglione.it/download/attodigara/7191/63ac45d4d031f.PDF"</f>
        <v>https://portaletrasparenza.consorziobacchiglione.it/download/attodigara/7191/63ac45d4d031f.PDF</v>
      </c>
      <c r="V2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22" spans="1:22" x14ac:dyDescent="0.3">
      <c r="A222" t="str">
        <f>"Affidamento"</f>
        <v>Affidamento</v>
      </c>
      <c r="B222" t="str">
        <f>"Rinnovo per 36 mesi licenza software per dispositivo GPS Ufficio Tecnico"</f>
        <v>Rinnovo per 36 mesi licenza software per dispositivo GPS Ufficio Tecnico</v>
      </c>
      <c r="C222" t="str">
        <f>"ZB0334A46F"</f>
        <v>ZB0334A46F</v>
      </c>
      <c r="D222" t="str">
        <f>"05/10/2021"</f>
        <v>05/10/2021</v>
      </c>
      <c r="E222" t="str">
        <f>""</f>
        <v/>
      </c>
      <c r="F222" t="str">
        <f>""</f>
        <v/>
      </c>
      <c r="G222" t="str">
        <f>"900.00"</f>
        <v>900.00</v>
      </c>
      <c r="H222" t="str">
        <f>"Consorzio di bonifica Bacchiglione"</f>
        <v>Consorzio di bonifica Bacchiglione</v>
      </c>
      <c r="I222" t="str">
        <f>"92223390284"</f>
        <v>92223390284</v>
      </c>
      <c r="J222" t="str">
        <f>"23-AFFIDAMENTO DIRETTO"</f>
        <v>23-AFFIDAMENTO DIRETTO</v>
      </c>
      <c r="K222" t="str">
        <f>"04/10/2021"</f>
        <v>04/10/2021</v>
      </c>
      <c r="L222" t="str">
        <f>"15/10/2021"</f>
        <v>15/10/2021</v>
      </c>
      <c r="M222" t="str">
        <f>""</f>
        <v/>
      </c>
      <c r="N222" t="str">
        <f>"Leonardo Softweare House Via Palestrina 25 -09129 Cagliari (CA)"</f>
        <v>Leonardo Softweare House Via Palestrina 25 -09129 Cagliari (CA)</v>
      </c>
      <c r="O222" t="str">
        <f>"Leonardo Softweare House Via Palestrina 25 -09129 Cagliari (CA)"</f>
        <v>Leonardo Softweare House Via Palestrina 25 -09129 Cagliari (CA)</v>
      </c>
      <c r="P222" t="s">
        <v>244</v>
      </c>
      <c r="Q222" t="str">
        <f>""</f>
        <v/>
      </c>
      <c r="R222" t="str">
        <f>""</f>
        <v/>
      </c>
      <c r="S222" t="str">
        <f>""</f>
        <v/>
      </c>
      <c r="T222" t="str">
        <f>"https://portaletrasparenza.consorziobacchiglione.it/dettagli/attodigara/7188/rinnovo-per-36-mesi-licenza-software-per-dispositivo-gps-ufficio-tecnico.html"</f>
        <v>https://portaletrasparenza.consorziobacchiglione.it/dettagli/attodigara/7188/rinnovo-per-36-mesi-licenza-software-per-dispositivo-gps-ufficio-tecnico.html</v>
      </c>
      <c r="U222" t="str">
        <f>"https://portaletrasparenza.consorziobacchiglione.it/download/attodigara/7188/63ac45d416977.PDF"</f>
        <v>https://portaletrasparenza.consorziobacchiglione.it/download/attodigara/7188/63ac45d416977.PDF</v>
      </c>
      <c r="V2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23" spans="1:22" x14ac:dyDescent="0.3">
      <c r="A223" t="str">
        <f>"Affidamento"</f>
        <v>Affidamento</v>
      </c>
      <c r="B223" t="str">
        <f>"Riparazione Plotter HP Designjet T1700 presso Sede Consorziale"</f>
        <v>Riparazione Plotter HP Designjet T1700 presso Sede Consorziale</v>
      </c>
      <c r="C223" t="str">
        <f>"ZED334B9C7"</f>
        <v>ZED334B9C7</v>
      </c>
      <c r="D223" t="str">
        <f>"05/10/2021"</f>
        <v>05/10/2021</v>
      </c>
      <c r="E223" t="str">
        <f>""</f>
        <v/>
      </c>
      <c r="F223" t="str">
        <f>""</f>
        <v/>
      </c>
      <c r="G223" t="str">
        <f>"70.00"</f>
        <v>70.00</v>
      </c>
      <c r="H223" t="str">
        <f>"Consorzio di bonifica Bacchiglione"</f>
        <v>Consorzio di bonifica Bacchiglione</v>
      </c>
      <c r="I223" t="str">
        <f>"92223390284"</f>
        <v>92223390284</v>
      </c>
      <c r="J223" t="str">
        <f>"23-AFFIDAMENTO DIRETTO"</f>
        <v>23-AFFIDAMENTO DIRETTO</v>
      </c>
      <c r="K223" t="str">
        <f>"04/10/2021"</f>
        <v>04/10/2021</v>
      </c>
      <c r="L223" t="str">
        <f>"25/10/2021"</f>
        <v>25/10/2021</v>
      </c>
      <c r="M223" t="str">
        <f>""</f>
        <v/>
      </c>
      <c r="N223" t="str">
        <f>"BM Office E Service di Mattioli Maurizio Via Vicenza 8 30010 Cona VE"</f>
        <v>BM Office E Service di Mattioli Maurizio Via Vicenza 8 30010 Cona VE</v>
      </c>
      <c r="O223" t="str">
        <f>"BM Office E Service di Mattioli Maurizio Via Vicenza 8 30010 Cona VE"</f>
        <v>BM Office E Service di Mattioli Maurizio Via Vicenza 8 30010 Cona VE</v>
      </c>
      <c r="P223" t="s">
        <v>324</v>
      </c>
      <c r="Q223" t="str">
        <f>""</f>
        <v/>
      </c>
      <c r="R223" t="str">
        <f>""</f>
        <v/>
      </c>
      <c r="S223" t="str">
        <f>""</f>
        <v/>
      </c>
      <c r="T223" t="str">
        <f>"https://portaletrasparenza.consorziobacchiglione.it/dettagli/attodigara/7190/riparazione-plotter-hp-designjet-t1700-presso-sede-consorziale.html"</f>
        <v>https://portaletrasparenza.consorziobacchiglione.it/dettagli/attodigara/7190/riparazione-plotter-hp-designjet-t1700-presso-sede-consorziale.html</v>
      </c>
      <c r="U223" t="str">
        <f>"https://portaletrasparenza.consorziobacchiglione.it/download/attodigara/7190/63ac45d4974b1.PDF"</f>
        <v>https://portaletrasparenza.consorziobacchiglione.it/download/attodigara/7190/63ac45d4974b1.PDF</v>
      </c>
      <c r="V2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24" spans="1:22" x14ac:dyDescent="0.3">
      <c r="A224" t="str">
        <f>"Affidamento"</f>
        <v>Affidamento</v>
      </c>
      <c r="B224" t="str">
        <f>"Servizio sostitutivo mensa personale periferico anno 2016. BACINO SESTA PRESA"</f>
        <v>Servizio sostitutivo mensa personale periferico anno 2016. BACINO SESTA PRESA</v>
      </c>
      <c r="C224" t="str">
        <f>"ZC31BAEFCE"</f>
        <v>ZC31BAEFCE</v>
      </c>
      <c r="D224" t="str">
        <f>"04/11/2021"</f>
        <v>04/11/2021</v>
      </c>
      <c r="E224" t="str">
        <f>""</f>
        <v/>
      </c>
      <c r="F224" t="str">
        <f>""</f>
        <v/>
      </c>
      <c r="G224" t="str">
        <f>"1818.18"</f>
        <v>1818.18</v>
      </c>
      <c r="H224" t="str">
        <f>"Consorzio di bonifica Bacchiglione"</f>
        <v>Consorzio di bonifica Bacchiglione</v>
      </c>
      <c r="I224" t="str">
        <f>"92223390284"</f>
        <v>92223390284</v>
      </c>
      <c r="J224" t="str">
        <f>"23-AFFIDAMENTO DIRETTO"</f>
        <v>23-AFFIDAMENTO DIRETTO</v>
      </c>
      <c r="K224" t="str">
        <f>"04/11/2021"</f>
        <v>04/11/2021</v>
      </c>
      <c r="L224" t="str">
        <f>"30/01/2021"</f>
        <v>30/01/2021</v>
      </c>
      <c r="M224" t="str">
        <f>""</f>
        <v/>
      </c>
      <c r="N224" t="str">
        <f>"BAR-PIZZERIA STRANO MA VERO DI PASQUALI GIULIANO E C. S.A.S."</f>
        <v>BAR-PIZZERIA STRANO MA VERO DI PASQUALI GIULIANO E C. S.A.S.</v>
      </c>
      <c r="O224" t="str">
        <f>"BAR-PIZZERIA STRANO MA VERO DI PASQUALI GIULIANO E C. S.A.S."</f>
        <v>BAR-PIZZERIA STRANO MA VERO DI PASQUALI GIULIANO E C. S.A.S.</v>
      </c>
      <c r="P224" t="s">
        <v>278</v>
      </c>
      <c r="Q224" t="str">
        <f>""</f>
        <v/>
      </c>
      <c r="R224" t="str">
        <f>""</f>
        <v/>
      </c>
      <c r="S224" t="str">
        <f>""</f>
        <v/>
      </c>
      <c r="T224" t="str">
        <f>"https://portaletrasparenza.consorziobacchiglione.it/dettagli/attodigara/873/servizio-sostitutivo-mensa-personale-periferico-anno-2016-bacino-sesta-presa.html"</f>
        <v>https://portaletrasparenza.consorziobacchiglione.it/dettagli/attodigara/873/servizio-sostitutivo-mensa-personale-periferico-anno-2016-bacino-sesta-presa.html</v>
      </c>
      <c r="U224" t="str">
        <f>""</f>
        <v/>
      </c>
      <c r="V2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25" spans="1:22" x14ac:dyDescent="0.3">
      <c r="A225" t="str">
        <f>"Affidamento"</f>
        <v>Affidamento</v>
      </c>
      <c r="B225" t="str">
        <f>"Fornitura NR. 4 telecomandi a quattro canali per C.O.S.Margherita."</f>
        <v>Fornitura NR. 4 telecomandi a quattro canali per C.O.S.Margherita.</v>
      </c>
      <c r="C225" t="str">
        <f>"Z7A1BDF35E"</f>
        <v>Z7A1BDF35E</v>
      </c>
      <c r="D225" t="str">
        <f>"04/11/2021"</f>
        <v>04/11/2021</v>
      </c>
      <c r="E225" t="str">
        <f>""</f>
        <v/>
      </c>
      <c r="F225" t="str">
        <f>""</f>
        <v/>
      </c>
      <c r="G225" t="str">
        <f>"176.00"</f>
        <v>176.00</v>
      </c>
      <c r="H225" t="str">
        <f>"Consorzio di bonifica Bacchiglione"</f>
        <v>Consorzio di bonifica Bacchiglione</v>
      </c>
      <c r="I225" t="str">
        <f>"92223390284"</f>
        <v>92223390284</v>
      </c>
      <c r="J225" t="str">
        <f>"23-AFFIDAMENTO DIRETTO"</f>
        <v>23-AFFIDAMENTO DIRETTO</v>
      </c>
      <c r="K225" t="str">
        <f>"04/11/2021"</f>
        <v>04/11/2021</v>
      </c>
      <c r="L225" t="str">
        <f>"05/01/2021"</f>
        <v>05/01/2021</v>
      </c>
      <c r="M225" t="str">
        <f>""</f>
        <v/>
      </c>
      <c r="N225" t="str">
        <f>"Scarpa Sergio Elettromeccanica S.n.c. di Scarpa Paola E C. Via A. Vivaldi 7 35028 Piove di Sacco PD"</f>
        <v>Scarpa Sergio Elettromeccanica S.n.c. di Scarpa Paola E C. Via A. Vivaldi 7 35028 Piove di Sacco PD</v>
      </c>
      <c r="O225" t="str">
        <f>"Scarpa Sergio Elettromeccanica S.n.c. di Scarpa Paola E C. Via A. Vivaldi 7 35028 Piove di Sacco PD"</f>
        <v>Scarpa Sergio Elettromeccanica S.n.c. di Scarpa Paola E C. Via A. Vivaldi 7 35028 Piove di Sacco PD</v>
      </c>
      <c r="P225" t="str">
        <f>"Z7A1BDF35E: [176.00€ ]"</f>
        <v>Z7A1BDF35E: [176.00€ ]</v>
      </c>
      <c r="Q225" t="str">
        <f>""</f>
        <v/>
      </c>
      <c r="R225" t="str">
        <f>""</f>
        <v/>
      </c>
      <c r="S225" t="str">
        <f>""</f>
        <v/>
      </c>
      <c r="T225" t="str">
        <f>"https://portaletrasparenza.consorziobacchiglione.it/dettagli/attodigara/886/fornitura-nr-4-telecomandi-a-quattro-canali-per-c-o-s-margherita.html"</f>
        <v>https://portaletrasparenza.consorziobacchiglione.it/dettagli/attodigara/886/fornitura-nr-4-telecomandi-a-quattro-canali-per-c-o-s-margherita.html</v>
      </c>
      <c r="U225" t="str">
        <f>""</f>
        <v/>
      </c>
      <c r="V2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26" spans="1:22" x14ac:dyDescent="0.3">
      <c r="A226" t="str">
        <f>"Affidamento"</f>
        <v>Affidamento</v>
      </c>
      <c r="B226" t="str">
        <f>"Fornitura n. 4 pneumatici per mezzo con targa: EW924ED."</f>
        <v>Fornitura n. 4 pneumatici per mezzo con targa: EW924ED.</v>
      </c>
      <c r="C226" t="str">
        <f>"ZB71BDF229"</f>
        <v>ZB71BDF229</v>
      </c>
      <c r="D226" t="str">
        <f>"04/11/2021"</f>
        <v>04/11/2021</v>
      </c>
      <c r="E226" t="str">
        <f>""</f>
        <v/>
      </c>
      <c r="F226" t="str">
        <f>""</f>
        <v/>
      </c>
      <c r="G226" t="str">
        <f>"259.20"</f>
        <v>259.20</v>
      </c>
      <c r="H226" t="str">
        <f>"Consorzio di bonifica Bacchiglione"</f>
        <v>Consorzio di bonifica Bacchiglione</v>
      </c>
      <c r="I226" t="str">
        <f>"92223390284"</f>
        <v>92223390284</v>
      </c>
      <c r="J226" t="str">
        <f>"23-AFFIDAMENTO DIRETTO"</f>
        <v>23-AFFIDAMENTO DIRETTO</v>
      </c>
      <c r="K226" t="str">
        <f>"04/11/2021"</f>
        <v>04/11/2021</v>
      </c>
      <c r="L226" t="str">
        <f>"05/12/2021"</f>
        <v>05/12/2021</v>
      </c>
      <c r="M226" t="str">
        <f>""</f>
        <v/>
      </c>
      <c r="N226" t="str">
        <f>"Galesso Roberto Via San Rocco 52B 35028 Piove di Sacco PD"</f>
        <v>Galesso Roberto Via San Rocco 52B 35028 Piove di Sacco PD</v>
      </c>
      <c r="O226" t="str">
        <f>"Galesso Roberto Via San Rocco 52B 35028 Piove di Sacco PD"</f>
        <v>Galesso Roberto Via San Rocco 52B 35028 Piove di Sacco PD</v>
      </c>
      <c r="P226" t="str">
        <f>"ZB71BDF229: [259.20€ ]"</f>
        <v>ZB71BDF229: [259.20€ ]</v>
      </c>
      <c r="Q226" t="str">
        <f>""</f>
        <v/>
      </c>
      <c r="R226" t="str">
        <f>""</f>
        <v/>
      </c>
      <c r="S226" t="str">
        <f>""</f>
        <v/>
      </c>
      <c r="T226" t="str">
        <f>"https://portaletrasparenza.consorziobacchiglione.it/dettagli/attodigara/885/fornitura-n-4-pneumatici-per-mezzo-con-targa-ew924ed.html"</f>
        <v>https://portaletrasparenza.consorziobacchiglione.it/dettagli/attodigara/885/fornitura-n-4-pneumatici-per-mezzo-con-targa-ew924ed.html</v>
      </c>
      <c r="U226" t="str">
        <f>""</f>
        <v/>
      </c>
      <c r="V2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27" spans="1:22" x14ac:dyDescent="0.3">
      <c r="A227" t="str">
        <f>"Affidamento"</f>
        <v>Affidamento</v>
      </c>
      <c r="B227" t="str">
        <f>"Lavaggio distributore mobile n 7 / 8 per collaudo."</f>
        <v>Lavaggio distributore mobile n 7 / 8 per collaudo.</v>
      </c>
      <c r="C227" t="str">
        <f>"Z961BDF11C"</f>
        <v>Z961BDF11C</v>
      </c>
      <c r="D227" t="str">
        <f>"04/11/2021"</f>
        <v>04/11/2021</v>
      </c>
      <c r="E227" t="str">
        <f>""</f>
        <v/>
      </c>
      <c r="F227" t="str">
        <f>""</f>
        <v/>
      </c>
      <c r="G227" t="str">
        <f>"160.00"</f>
        <v>160.00</v>
      </c>
      <c r="H227" t="str">
        <f>"Consorzio di bonifica Bacchiglione"</f>
        <v>Consorzio di bonifica Bacchiglione</v>
      </c>
      <c r="I227" t="str">
        <f>"92223390284"</f>
        <v>92223390284</v>
      </c>
      <c r="J227" t="str">
        <f>"23-AFFIDAMENTO DIRETTO"</f>
        <v>23-AFFIDAMENTO DIRETTO</v>
      </c>
      <c r="K227" t="str">
        <f>"04/11/2021"</f>
        <v>04/11/2021</v>
      </c>
      <c r="L227" t="str">
        <f>"05/01/2021"</f>
        <v>05/01/2021</v>
      </c>
      <c r="M227" t="str">
        <f>""</f>
        <v/>
      </c>
      <c r="N227" t="str">
        <f>"Officina Biesse S.n.c. Via Matteotti 24 35020 Arzergrande PD"</f>
        <v>Officina Biesse S.n.c. Via Matteotti 24 35020 Arzergrande PD</v>
      </c>
      <c r="O227" t="str">
        <f>"Officina Biesse S.n.c. Via Matteotti 24 35020 Arzergrande PD"</f>
        <v>Officina Biesse S.n.c. Via Matteotti 24 35020 Arzergrande PD</v>
      </c>
      <c r="P227" t="str">
        <f>"Z961BDF11C: [160.00€ ]"</f>
        <v>Z961BDF11C: [160.00€ ]</v>
      </c>
      <c r="Q227" t="str">
        <f>""</f>
        <v/>
      </c>
      <c r="R227" t="str">
        <f>""</f>
        <v/>
      </c>
      <c r="S227" t="str">
        <f>""</f>
        <v/>
      </c>
      <c r="T227" t="str">
        <f>"https://portaletrasparenza.consorziobacchiglione.it/dettagli/attodigara/884/lavaggio-distributore-mobile-n-7-8-per-collaudo.html"</f>
        <v>https://portaletrasparenza.consorziobacchiglione.it/dettagli/attodigara/884/lavaggio-distributore-mobile-n-7-8-per-collaudo.html</v>
      </c>
      <c r="U227" t="str">
        <f>""</f>
        <v/>
      </c>
      <c r="V22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28" spans="1:22" x14ac:dyDescent="0.3">
      <c r="A228" t="str">
        <f>"Affidamento"</f>
        <v>Affidamento</v>
      </c>
      <c r="B228" t="str">
        <f>"Lavori di sfalcio erba su canali Consorziali per 280 ore stimate mediante trattore con braccio ."</f>
        <v>Lavori di sfalcio erba su canali Consorziali per 280 ore stimate mediante trattore con braccio .</v>
      </c>
      <c r="C228" t="str">
        <f>"Z381BDEE53"</f>
        <v>Z381BDEE53</v>
      </c>
      <c r="D228" t="str">
        <f>"04/11/2021"</f>
        <v>04/11/2021</v>
      </c>
      <c r="E228" t="str">
        <f>""</f>
        <v/>
      </c>
      <c r="F228" t="str">
        <f>""</f>
        <v/>
      </c>
      <c r="G228" t="str">
        <f>"12600.00"</f>
        <v>12600.00</v>
      </c>
      <c r="H228" t="str">
        <f>"Consorzio di bonifica Bacchiglione"</f>
        <v>Consorzio di bonifica Bacchiglione</v>
      </c>
      <c r="I228" t="str">
        <f>"92223390284"</f>
        <v>92223390284</v>
      </c>
      <c r="J228" t="str">
        <f>"23-AFFIDAMENTO DIRETTO"</f>
        <v>23-AFFIDAMENTO DIRETTO</v>
      </c>
      <c r="K228" t="str">
        <f>"04/11/2021"</f>
        <v>04/11/2021</v>
      </c>
      <c r="L228" t="str">
        <f>"20/12/2021"</f>
        <v>20/12/2021</v>
      </c>
      <c r="M228" t="str">
        <f>""</f>
        <v/>
      </c>
      <c r="N228" t="str">
        <f>"Viale Valter Via 1° Maggio 124 30010 Campagna Lupia VE"</f>
        <v>Viale Valter Via 1° Maggio 124 30010 Campagna Lupia VE</v>
      </c>
      <c r="O228" t="str">
        <f>"Viale Valter Via 1° Maggio 124 30010 Campagna Lupia VE"</f>
        <v>Viale Valter Via 1° Maggio 124 30010 Campagna Lupia VE</v>
      </c>
      <c r="P228" t="str">
        <f>"Z381BDEE53: [12600.00€ ]"</f>
        <v>Z381BDEE53: [12600.00€ ]</v>
      </c>
      <c r="Q228" t="str">
        <f>""</f>
        <v/>
      </c>
      <c r="R228" t="str">
        <f>""</f>
        <v/>
      </c>
      <c r="S228" t="str">
        <f>""</f>
        <v/>
      </c>
      <c r="T228" t="str">
        <f>"https://portaletrasparenza.consorziobacchiglione.it/dettagli/attodigara/882/lavori-di-sfalcio-erba-su-canali-consorziali-per-280-ore-stimate-mediante-trattore-con-braccio.html"</f>
        <v>https://portaletrasparenza.consorziobacchiglione.it/dettagli/attodigara/882/lavori-di-sfalcio-erba-su-canali-consorziali-per-280-ore-stimate-mediante-trattore-con-braccio.html</v>
      </c>
      <c r="U228" t="str">
        <f>""</f>
        <v/>
      </c>
      <c r="V2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29" spans="1:22" x14ac:dyDescent="0.3">
      <c r="A229" t="str">
        <f>"Affidamento"</f>
        <v>Affidamento</v>
      </c>
      <c r="B229" t="str">
        <f>"Fornitura batterie per mezzi con targa: AGZ838, DS717AA, G.E. Idrovora di Lova."</f>
        <v>Fornitura batterie per mezzi con targa: AGZ838, DS717AA, G.E. Idrovora di Lova.</v>
      </c>
      <c r="C229" t="str">
        <f>"ZBE1BDEB39"</f>
        <v>ZBE1BDEB39</v>
      </c>
      <c r="D229" t="str">
        <f>"04/11/2021"</f>
        <v>04/11/2021</v>
      </c>
      <c r="E229" t="str">
        <f>""</f>
        <v/>
      </c>
      <c r="F229" t="str">
        <f>""</f>
        <v/>
      </c>
      <c r="G229" t="str">
        <f>"700.00"</f>
        <v>700.00</v>
      </c>
      <c r="H229" t="str">
        <f>"Consorzio di bonifica Bacchiglione"</f>
        <v>Consorzio di bonifica Bacchiglione</v>
      </c>
      <c r="I229" t="str">
        <f>"92223390284"</f>
        <v>92223390284</v>
      </c>
      <c r="J229" t="str">
        <f>"23-AFFIDAMENTO DIRETTO"</f>
        <v>23-AFFIDAMENTO DIRETTO</v>
      </c>
      <c r="K229" t="str">
        <f>"04/11/2021"</f>
        <v>04/11/2021</v>
      </c>
      <c r="L229" t="str">
        <f>"28/12/2021"</f>
        <v>28/12/2021</v>
      </c>
      <c r="M229" t="str">
        <f>""</f>
        <v/>
      </c>
      <c r="N229" t="str">
        <f>"Vise Elettrocar Via Montagnon 61 35028 Tognana di Piove di Sacco PD"</f>
        <v>Vise Elettrocar Via Montagnon 61 35028 Tognana di Piove di Sacco PD</v>
      </c>
      <c r="O229" t="str">
        <f>"Vise Elettrocar Via Montagnon 61 35028 Tognana di Piove di Sacco PD"</f>
        <v>Vise Elettrocar Via Montagnon 61 35028 Tognana di Piove di Sacco PD</v>
      </c>
      <c r="P229" t="str">
        <f>"ZBE1BDEB39: [700.00€ ]"</f>
        <v>ZBE1BDEB39: [700.00€ ]</v>
      </c>
      <c r="Q229" t="str">
        <f>""</f>
        <v/>
      </c>
      <c r="R229" t="str">
        <f>""</f>
        <v/>
      </c>
      <c r="S229" t="str">
        <f>""</f>
        <v/>
      </c>
      <c r="T229" t="str">
        <f>"https://portaletrasparenza.consorziobacchiglione.it/dettagli/attodigara/881/fornitura-batterie-per-mezzi-con-targa-agz838-ds717aa-g-e-idrovora-di-lova.html"</f>
        <v>https://portaletrasparenza.consorziobacchiglione.it/dettagli/attodigara/881/fornitura-batterie-per-mezzi-con-targa-agz838-ds717aa-g-e-idrovora-di-lova.html</v>
      </c>
      <c r="U229" t="str">
        <f>""</f>
        <v/>
      </c>
      <c r="V2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30" spans="1:22" x14ac:dyDescent="0.3">
      <c r="A230" t="str">
        <f>"Affidamento"</f>
        <v>Affidamento</v>
      </c>
      <c r="B230" t="str">
        <f>"Riparazione e manutenzione mezzi con targa: DN881SC, DA205YW."</f>
        <v>Riparazione e manutenzione mezzi con targa: DN881SC, DA205YW.</v>
      </c>
      <c r="C230" t="str">
        <f>"ZBC1BDE8B9"</f>
        <v>ZBC1BDE8B9</v>
      </c>
      <c r="D230" t="str">
        <f>"04/11/2021"</f>
        <v>04/11/2021</v>
      </c>
      <c r="E230" t="str">
        <f>""</f>
        <v/>
      </c>
      <c r="F230" t="str">
        <f>""</f>
        <v/>
      </c>
      <c r="G230" t="str">
        <f>"930.00"</f>
        <v>930.00</v>
      </c>
      <c r="H230" t="str">
        <f>"Consorzio di bonifica Bacchiglione"</f>
        <v>Consorzio di bonifica Bacchiglione</v>
      </c>
      <c r="I230" t="str">
        <f>"92223390284"</f>
        <v>92223390284</v>
      </c>
      <c r="J230" t="str">
        <f>"23-AFFIDAMENTO DIRETTO"</f>
        <v>23-AFFIDAMENTO DIRETTO</v>
      </c>
      <c r="K230" t="str">
        <f>"04/11/2021"</f>
        <v>04/11/2021</v>
      </c>
      <c r="L230" t="str">
        <f>"27/12/2021"</f>
        <v>27/12/2021</v>
      </c>
      <c r="M230" t="str">
        <f>""</f>
        <v/>
      </c>
      <c r="N230" t="str">
        <f>"Vise Elettrocar Via Montagnon 61 35028 Tognana di Piove di Sacco PD"</f>
        <v>Vise Elettrocar Via Montagnon 61 35028 Tognana di Piove di Sacco PD</v>
      </c>
      <c r="O230" t="str">
        <f>"Vise Elettrocar Via Montagnon 61 35028 Tognana di Piove di Sacco PD"</f>
        <v>Vise Elettrocar Via Montagnon 61 35028 Tognana di Piove di Sacco PD</v>
      </c>
      <c r="P230" t="str">
        <f>"ZBC1BDE8B9: [930.00€ ]"</f>
        <v>ZBC1BDE8B9: [930.00€ ]</v>
      </c>
      <c r="Q230" t="str">
        <f>""</f>
        <v/>
      </c>
      <c r="R230" t="str">
        <f>""</f>
        <v/>
      </c>
      <c r="S230" t="str">
        <f>""</f>
        <v/>
      </c>
      <c r="T230" t="str">
        <f>"https://portaletrasparenza.consorziobacchiglione.it/dettagli/attodigara/880/riparazione-e-manutenzione-mezzi-con-targa-dn881sc-da205yw.html"</f>
        <v>https://portaletrasparenza.consorziobacchiglione.it/dettagli/attodigara/880/riparazione-e-manutenzione-mezzi-con-targa-dn881sc-da205yw.html</v>
      </c>
      <c r="U230" t="str">
        <f>""</f>
        <v/>
      </c>
      <c r="V2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31" spans="1:22" x14ac:dyDescent="0.3">
      <c r="A231" t="str">
        <f>"Affidamento"</f>
        <v>Affidamento</v>
      </c>
      <c r="B231" t="str">
        <f>"Fornitura ricambi per motosega Sthil C.O.Bovolenta."</f>
        <v>Fornitura ricambi per motosega Sthil C.O.Bovolenta.</v>
      </c>
      <c r="C231" t="str">
        <f>"Z341BDE75D"</f>
        <v>Z341BDE75D</v>
      </c>
      <c r="D231" t="str">
        <f>"04/11/2021"</f>
        <v>04/11/2021</v>
      </c>
      <c r="E231" t="str">
        <f>""</f>
        <v/>
      </c>
      <c r="F231" t="str">
        <f>""</f>
        <v/>
      </c>
      <c r="G231" t="str">
        <f>"93.44"</f>
        <v>93.44</v>
      </c>
      <c r="H231" t="str">
        <f>"Consorzio di bonifica Bacchiglione"</f>
        <v>Consorzio di bonifica Bacchiglione</v>
      </c>
      <c r="I231" t="str">
        <f>"92223390284"</f>
        <v>92223390284</v>
      </c>
      <c r="J231" t="str">
        <f>"23-AFFIDAMENTO DIRETTO"</f>
        <v>23-AFFIDAMENTO DIRETTO</v>
      </c>
      <c r="K231" t="str">
        <f>"04/11/2021"</f>
        <v>04/11/2021</v>
      </c>
      <c r="L231" t="str">
        <f>"21/11/2021"</f>
        <v>21/11/2021</v>
      </c>
      <c r="M231" t="str">
        <f>""</f>
        <v/>
      </c>
      <c r="N231" t="str">
        <f>"Mini Motor di Vettorato Gabriele Via Puccini 3 35020 Brugine PD"</f>
        <v>Mini Motor di Vettorato Gabriele Via Puccini 3 35020 Brugine PD</v>
      </c>
      <c r="O231" t="str">
        <f>"Mini Motor di Vettorato Gabriele Via Puccini 3 35020 Brugine PD"</f>
        <v>Mini Motor di Vettorato Gabriele Via Puccini 3 35020 Brugine PD</v>
      </c>
      <c r="P231" t="str">
        <f>"Z341BDE75D: [93.44€ ]"</f>
        <v>Z341BDE75D: [93.44€ ]</v>
      </c>
      <c r="Q231" t="str">
        <f>""</f>
        <v/>
      </c>
      <c r="R231" t="str">
        <f>""</f>
        <v/>
      </c>
      <c r="S231" t="str">
        <f>""</f>
        <v/>
      </c>
      <c r="T231" t="str">
        <f>"https://portaletrasparenza.consorziobacchiglione.it/dettagli/attodigara/879/fornitura-ricambi-per-motosega-sthil-c-o-bovolenta.html"</f>
        <v>https://portaletrasparenza.consorziobacchiglione.it/dettagli/attodigara/879/fornitura-ricambi-per-motosega-sthil-c-o-bovolenta.html</v>
      </c>
      <c r="U231" t="str">
        <f>""</f>
        <v/>
      </c>
      <c r="V2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32" spans="1:22" x14ac:dyDescent="0.3">
      <c r="A232" t="str">
        <f>"Affidamento"</f>
        <v>Affidamento</v>
      </c>
      <c r="B232" t="str">
        <f>"Riparazione motosega Sthil n 5 C.O.S.Margherita."</f>
        <v>Riparazione motosega Sthil n 5 C.O.S.Margherita.</v>
      </c>
      <c r="C232" t="str">
        <f>"Z5E1BDE5F0"</f>
        <v>Z5E1BDE5F0</v>
      </c>
      <c r="D232" t="str">
        <f>"04/11/2021"</f>
        <v>04/11/2021</v>
      </c>
      <c r="E232" t="str">
        <f>""</f>
        <v/>
      </c>
      <c r="F232" t="str">
        <f>""</f>
        <v/>
      </c>
      <c r="G232" t="str">
        <f>"232.79"</f>
        <v>232.79</v>
      </c>
      <c r="H232" t="str">
        <f>"Consorzio di bonifica Bacchiglione"</f>
        <v>Consorzio di bonifica Bacchiglione</v>
      </c>
      <c r="I232" t="str">
        <f>"92223390284"</f>
        <v>92223390284</v>
      </c>
      <c r="J232" t="str">
        <f>"23-AFFIDAMENTO DIRETTO"</f>
        <v>23-AFFIDAMENTO DIRETTO</v>
      </c>
      <c r="K232" t="str">
        <f>"04/11/2021"</f>
        <v>04/11/2021</v>
      </c>
      <c r="L232" t="str">
        <f>"21/11/2021"</f>
        <v>21/11/2021</v>
      </c>
      <c r="M232" t="str">
        <f>""</f>
        <v/>
      </c>
      <c r="N232" t="str">
        <f>"Mini Motor di Vettorato Gabriele Via Puccini 3 35020 Brugine PD"</f>
        <v>Mini Motor di Vettorato Gabriele Via Puccini 3 35020 Brugine PD</v>
      </c>
      <c r="O232" t="str">
        <f>"Mini Motor di Vettorato Gabriele Via Puccini 3 35020 Brugine PD"</f>
        <v>Mini Motor di Vettorato Gabriele Via Puccini 3 35020 Brugine PD</v>
      </c>
      <c r="P232" t="str">
        <f>"Z5E1BDE5F0: [232.79€ ]"</f>
        <v>Z5E1BDE5F0: [232.79€ ]</v>
      </c>
      <c r="Q232" t="str">
        <f>""</f>
        <v/>
      </c>
      <c r="R232" t="str">
        <f>""</f>
        <v/>
      </c>
      <c r="S232" t="str">
        <f>""</f>
        <v/>
      </c>
      <c r="T232" t="str">
        <f>"https://portaletrasparenza.consorziobacchiglione.it/dettagli/attodigara/878/riparazione-motosega-sthil-n-5-c-o-s-margherita.html"</f>
        <v>https://portaletrasparenza.consorziobacchiglione.it/dettagli/attodigara/878/riparazione-motosega-sthil-n-5-c-o-s-margherita.html</v>
      </c>
      <c r="U232" t="str">
        <f>""</f>
        <v/>
      </c>
      <c r="V2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33" spans="1:22" x14ac:dyDescent="0.3">
      <c r="A233" t="str">
        <f>"Affidamento"</f>
        <v>Affidamento</v>
      </c>
      <c r="B233" t="str">
        <f>"Lavoro di smontaggio completo, pulizia generale, sabbiatura di tutti i componenti su elettrovalvola di disadescamento Mod. ED100 Idrovora Vaso Cavaizze."</f>
        <v>Lavoro di smontaggio completo, pulizia generale, sabbiatura di tutti i componenti su elettrovalvola di disadescamento Mod. ED100 Idrovora Vaso Cavaizze.</v>
      </c>
      <c r="C233" t="str">
        <f>"ZA41BDE33C"</f>
        <v>ZA41BDE33C</v>
      </c>
      <c r="D233" t="str">
        <f>"04/11/2021"</f>
        <v>04/11/2021</v>
      </c>
      <c r="E233" t="str">
        <f>""</f>
        <v/>
      </c>
      <c r="F233" t="str">
        <f>""</f>
        <v/>
      </c>
      <c r="G233" t="str">
        <f>"728.00"</f>
        <v>728.00</v>
      </c>
      <c r="H233" t="str">
        <f>"Consorzio di bonifica Bacchiglione"</f>
        <v>Consorzio di bonifica Bacchiglione</v>
      </c>
      <c r="I233" t="str">
        <f>"92223390284"</f>
        <v>92223390284</v>
      </c>
      <c r="J233" t="str">
        <f>"23-AFFIDAMENTO DIRETTO"</f>
        <v>23-AFFIDAMENTO DIRETTO</v>
      </c>
      <c r="K233" t="str">
        <f>"04/11/2021"</f>
        <v>04/11/2021</v>
      </c>
      <c r="L233" t="str">
        <f>"30/06/2021"</f>
        <v>30/06/2021</v>
      </c>
      <c r="M233" t="str">
        <f>""</f>
        <v/>
      </c>
      <c r="N233" t="str">
        <f>"Scarpa Sergio Elettromeccanica S.n.c. di Scarpa Paola E C. Via A. Vivaldi 7 35028 Piove di Sacco PD"</f>
        <v>Scarpa Sergio Elettromeccanica S.n.c. di Scarpa Paola E C. Via A. Vivaldi 7 35028 Piove di Sacco PD</v>
      </c>
      <c r="O233" t="str">
        <f>"Scarpa Sergio Elettromeccanica S.n.c. di Scarpa Paola E C. Via A. Vivaldi 7 35028 Piove di Sacco PD"</f>
        <v>Scarpa Sergio Elettromeccanica S.n.c. di Scarpa Paola E C. Via A. Vivaldi 7 35028 Piove di Sacco PD</v>
      </c>
      <c r="P233" t="str">
        <f>"ZA41BDE33C: [728.00€ ]"</f>
        <v>ZA41BDE33C: [728.00€ ]</v>
      </c>
      <c r="Q233" t="str">
        <f>""</f>
        <v/>
      </c>
      <c r="R233" t="str">
        <f>""</f>
        <v/>
      </c>
      <c r="S233" t="str">
        <f>""</f>
        <v/>
      </c>
      <c r="T233" t="str">
        <f>"https://portaletrasparenza.consorziobacchiglione.it/dettagli/attodigara/877/lavoro-di-smontaggio-completo-pulizia-generale-sabbiatura-di-tutti-i-componenti-su-elettrovalvola-di-disadescamento-mod-ed100-idrovora-vaso-cavaizze.html"</f>
        <v>https://portaletrasparenza.consorziobacchiglione.it/dettagli/attodigara/877/lavoro-di-smontaggio-completo-pulizia-generale-sabbiatura-di-tutti-i-componenti-su-elettrovalvola-di-disadescamento-mod-ed100-idrovora-vaso-cavaizze.html</v>
      </c>
      <c r="U233" t="str">
        <f>""</f>
        <v/>
      </c>
      <c r="V2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34" spans="1:22" x14ac:dyDescent="0.3">
      <c r="A234" t="str">
        <f>"Affidamento"</f>
        <v>Affidamento</v>
      </c>
      <c r="B234" t="str">
        <f>"Corso RSPP e RLS per il personale che ricopre tali figure."</f>
        <v>Corso RSPP e RLS per il personale che ricopre tali figure.</v>
      </c>
      <c r="C234" t="str">
        <f>"Z301BDD1B2"</f>
        <v>Z301BDD1B2</v>
      </c>
      <c r="D234" t="str">
        <f>"04/11/2021"</f>
        <v>04/11/2021</v>
      </c>
      <c r="E234" t="str">
        <f>""</f>
        <v/>
      </c>
      <c r="F234" t="str">
        <f>""</f>
        <v/>
      </c>
      <c r="G234" t="str">
        <f>"247.00"</f>
        <v>247.00</v>
      </c>
      <c r="H234" t="str">
        <f>"Consorzio di bonifica Bacchiglione"</f>
        <v>Consorzio di bonifica Bacchiglione</v>
      </c>
      <c r="I234" t="str">
        <f>"92223390284"</f>
        <v>92223390284</v>
      </c>
      <c r="J234" t="str">
        <f>"23-AFFIDAMENTO DIRETTO"</f>
        <v>23-AFFIDAMENTO DIRETTO</v>
      </c>
      <c r="K234" t="str">
        <f>"04/11/2021"</f>
        <v>04/11/2021</v>
      </c>
      <c r="L234" t="str">
        <f>"04/01/2021"</f>
        <v>04/01/2021</v>
      </c>
      <c r="M234" t="str">
        <f>""</f>
        <v/>
      </c>
      <c r="N234" t="str">
        <f>"FOREMA s.c.a.r.l. Via E.P. Masini 2 35131 Padova"</f>
        <v>FOREMA s.c.a.r.l. Via E.P. Masini 2 35131 Padova</v>
      </c>
      <c r="O234" t="str">
        <f>"FOREMA s.c.a.r.l. Via E.P. Masini 2 35131 Padova"</f>
        <v>FOREMA s.c.a.r.l. Via E.P. Masini 2 35131 Padova</v>
      </c>
      <c r="P234" t="str">
        <f>"Z301BDD1B2: [247.00€ ]"</f>
        <v>Z301BDD1B2: [247.00€ ]</v>
      </c>
      <c r="Q234" t="str">
        <f>""</f>
        <v/>
      </c>
      <c r="R234" t="str">
        <f>""</f>
        <v/>
      </c>
      <c r="S234" t="str">
        <f>""</f>
        <v/>
      </c>
      <c r="T234" t="str">
        <f>"https://portaletrasparenza.consorziobacchiglione.it/dettagli/attodigara/876/corso-rspp-e-rls-per-il-personale-che-ricopre-tali-figure.html"</f>
        <v>https://portaletrasparenza.consorziobacchiglione.it/dettagli/attodigara/876/corso-rspp-e-rls-per-il-personale-che-ricopre-tali-figure.html</v>
      </c>
      <c r="U234" t="str">
        <f>""</f>
        <v/>
      </c>
      <c r="V2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35" spans="1:22" x14ac:dyDescent="0.3">
      <c r="A235" t="str">
        <f>"Affidamento"</f>
        <v>Affidamento</v>
      </c>
      <c r="B235" t="str">
        <f>"Corso analisi degli incidenti e degli infortuni per pianificare azioni preventive e correttive."</f>
        <v>Corso analisi degli incidenti e degli infortuni per pianificare azioni preventive e correttive.</v>
      </c>
      <c r="C235" t="str">
        <f>"Z431BDCDFE"</f>
        <v>Z431BDCDFE</v>
      </c>
      <c r="D235" t="str">
        <f>"04/11/2021"</f>
        <v>04/11/2021</v>
      </c>
      <c r="E235" t="str">
        <f>""</f>
        <v/>
      </c>
      <c r="F235" t="str">
        <f>""</f>
        <v/>
      </c>
      <c r="G235" t="str">
        <f>"130.00"</f>
        <v>130.00</v>
      </c>
      <c r="H235" t="str">
        <f>"Consorzio di bonifica Bacchiglione"</f>
        <v>Consorzio di bonifica Bacchiglione</v>
      </c>
      <c r="I235" t="str">
        <f>"92223390284"</f>
        <v>92223390284</v>
      </c>
      <c r="J235" t="str">
        <f>"23-AFFIDAMENTO DIRETTO"</f>
        <v>23-AFFIDAMENTO DIRETTO</v>
      </c>
      <c r="K235" t="str">
        <f>"04/11/2021"</f>
        <v>04/11/2021</v>
      </c>
      <c r="L235" t="str">
        <f>"03/01/2021"</f>
        <v>03/01/2021</v>
      </c>
      <c r="M235" t="str">
        <f>""</f>
        <v/>
      </c>
      <c r="N235" t="str">
        <f>"FOREMA s.c.a.r.l. Via E.P. Masini 2 35131 Padova"</f>
        <v>FOREMA s.c.a.r.l. Via E.P. Masini 2 35131 Padova</v>
      </c>
      <c r="O235" t="str">
        <f>"FOREMA s.c.a.r.l. Via E.P. Masini 2 35131 Padova"</f>
        <v>FOREMA s.c.a.r.l. Via E.P. Masini 2 35131 Padova</v>
      </c>
      <c r="P235" t="str">
        <f>"Z431BDCDFE: [130.00€ ]"</f>
        <v>Z431BDCDFE: [130.00€ ]</v>
      </c>
      <c r="Q235" t="str">
        <f>""</f>
        <v/>
      </c>
      <c r="R235" t="str">
        <f>""</f>
        <v/>
      </c>
      <c r="S235" t="str">
        <f>""</f>
        <v/>
      </c>
      <c r="T235" t="str">
        <f>"https://portaletrasparenza.consorziobacchiglione.it/dettagli/attodigara/875/corso-analisi-degli-incidenti-e-degli-infortuni-per-pianificare-azioni-preventive-e-correttive.html"</f>
        <v>https://portaletrasparenza.consorziobacchiglione.it/dettagli/attodigara/875/corso-analisi-degli-incidenti-e-degli-infortuni-per-pianificare-azioni-preventive-e-correttive.html</v>
      </c>
      <c r="U235" t="str">
        <f>""</f>
        <v/>
      </c>
      <c r="V2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36" spans="1:22" x14ac:dyDescent="0.3">
      <c r="A236" t="str">
        <f>"Affidamento"</f>
        <v>Affidamento</v>
      </c>
      <c r="B236" t="str">
        <f>"Fornitura materiale di ferramenta per C.O.S.Margherita."</f>
        <v>Fornitura materiale di ferramenta per C.O.S.Margherita.</v>
      </c>
      <c r="C236" t="str">
        <f>"Z131BDF01E"</f>
        <v>Z131BDF01E</v>
      </c>
      <c r="D236" t="str">
        <f>"04/11/2021"</f>
        <v>04/11/2021</v>
      </c>
      <c r="E236" t="str">
        <f>""</f>
        <v/>
      </c>
      <c r="F236" t="str">
        <f>""</f>
        <v/>
      </c>
      <c r="G236" t="str">
        <f>"115.66"</f>
        <v>115.66</v>
      </c>
      <c r="H236" t="str">
        <f>"Consorzio di bonifica Bacchiglione"</f>
        <v>Consorzio di bonifica Bacchiglione</v>
      </c>
      <c r="I236" t="str">
        <f>"92223390284"</f>
        <v>92223390284</v>
      </c>
      <c r="J236" t="str">
        <f>"23-AFFIDAMENTO DIRETTO"</f>
        <v>23-AFFIDAMENTO DIRETTO</v>
      </c>
      <c r="K236" t="str">
        <f>"04/11/2021"</f>
        <v>04/11/2021</v>
      </c>
      <c r="L236" t="str">
        <f>"12/07/2021"</f>
        <v>12/07/2021</v>
      </c>
      <c r="M236" t="str">
        <f>""</f>
        <v/>
      </c>
      <c r="N236" t="str">
        <f>"Gollo Giovanni Via Vallona 65 35020 Conche di Codevigo PD"</f>
        <v>Gollo Giovanni Via Vallona 65 35020 Conche di Codevigo PD</v>
      </c>
      <c r="O236" t="str">
        <f>"Gollo Giovanni Via Vallona 65 35020 Conche di Codevigo PD"</f>
        <v>Gollo Giovanni Via Vallona 65 35020 Conche di Codevigo PD</v>
      </c>
      <c r="P236" t="str">
        <f>"Z131BDF01E: [92.40€ ]"</f>
        <v>Z131BDF01E: [92.40€ ]</v>
      </c>
      <c r="Q236" t="str">
        <f>""</f>
        <v/>
      </c>
      <c r="R236" t="str">
        <f>""</f>
        <v/>
      </c>
      <c r="S236" t="str">
        <f>""</f>
        <v/>
      </c>
      <c r="T236" t="str">
        <f>"https://portaletrasparenza.consorziobacchiglione.it/dettagli/attodigara/883/fornitura-materiale-di-ferramenta-per-c-o-s-margherita.html"</f>
        <v>https://portaletrasparenza.consorziobacchiglione.it/dettagli/attodigara/883/fornitura-materiale-di-ferramenta-per-c-o-s-margherita.html</v>
      </c>
      <c r="U236" t="str">
        <f>""</f>
        <v/>
      </c>
      <c r="V236">
        <f>(SUBSTITUTE(Tabella1[[#This Row],[Importo di aggiudicazione]],".",","))-(SUBSTITUTE(  SUBSTITUTE(          SUBSTITUTE(Tabella1[[#This Row],[Dettaglio somme liquidate]],Tabella1[[#This Row],[CIG]]&amp;": [",""),"€ ]",""),".",","))</f>
        <v>23.259999999999991</v>
      </c>
    </row>
    <row r="237" spans="1:22" x14ac:dyDescent="0.3">
      <c r="A237" t="str">
        <f>"Affidamento"</f>
        <v>Affidamento</v>
      </c>
      <c r="B237" t="str">
        <f>"Servizio sostitutivo mensa personale periferico anno 2016. BACINO SESTA PRESA"</f>
        <v>Servizio sostitutivo mensa personale periferico anno 2016. BACINO SESTA PRESA</v>
      </c>
      <c r="C237" t="str">
        <f>"Z6C1BAEFE3"</f>
        <v>Z6C1BAEFE3</v>
      </c>
      <c r="D237" t="str">
        <f>"04/11/2021"</f>
        <v>04/11/2021</v>
      </c>
      <c r="E237" t="str">
        <f>""</f>
        <v/>
      </c>
      <c r="F237" t="str">
        <f>""</f>
        <v/>
      </c>
      <c r="G237" t="str">
        <f>"1818.18"</f>
        <v>1818.18</v>
      </c>
      <c r="H237" t="str">
        <f>"Consorzio di bonifica Bacchiglione"</f>
        <v>Consorzio di bonifica Bacchiglione</v>
      </c>
      <c r="I237" t="str">
        <f>"92223390284"</f>
        <v>92223390284</v>
      </c>
      <c r="J237" t="str">
        <f>"23-AFFIDAMENTO DIRETTO"</f>
        <v>23-AFFIDAMENTO DIRETTO</v>
      </c>
      <c r="K237" t="str">
        <f>"04/11/2021"</f>
        <v>04/11/2021</v>
      </c>
      <c r="L237" t="str">
        <f>"31/12/2021"</f>
        <v>31/12/2021</v>
      </c>
      <c r="M237" t="str">
        <f>""</f>
        <v/>
      </c>
      <c r="N237" t="str">
        <f>"ANTICA ALBORA S.N.C. DI BETTIO EDOARDO E C."</f>
        <v>ANTICA ALBORA S.N.C. DI BETTIO EDOARDO E C.</v>
      </c>
      <c r="O237" t="str">
        <f>"ANTICA ALBORA S.N.C. DI BETTIO EDOARDO E C."</f>
        <v>ANTICA ALBORA S.N.C. DI BETTIO EDOARDO E C.</v>
      </c>
      <c r="P237" t="str">
        <f>"Z6C1BAEFE3: [1191.82€ ]"</f>
        <v>Z6C1BAEFE3: [1191.82€ ]</v>
      </c>
      <c r="Q237" t="str">
        <f>""</f>
        <v/>
      </c>
      <c r="R237" t="str">
        <f>""</f>
        <v/>
      </c>
      <c r="S237" t="str">
        <f>""</f>
        <v/>
      </c>
      <c r="T237" t="str">
        <f>"https://portaletrasparenza.consorziobacchiglione.it/dettagli/attodigara/874/servizio-sostitutivo-mensa-personale-periferico-anno-2016-bacino-sesta-presa.html"</f>
        <v>https://portaletrasparenza.consorziobacchiglione.it/dettagli/attodigara/874/servizio-sostitutivo-mensa-personale-periferico-anno-2016-bacino-sesta-presa.html</v>
      </c>
      <c r="U237" t="str">
        <f>""</f>
        <v/>
      </c>
      <c r="V237">
        <f>(SUBSTITUTE(Tabella1[[#This Row],[Importo di aggiudicazione]],".",","))-(SUBSTITUTE(  SUBSTITUTE(          SUBSTITUTE(Tabella1[[#This Row],[Dettaglio somme liquidate]],Tabella1[[#This Row],[CIG]]&amp;": [",""),"€ ]",""),".",","))</f>
        <v>626.36000000000013</v>
      </c>
    </row>
    <row r="238" spans="1:22" x14ac:dyDescent="0.3">
      <c r="A238" t="str">
        <f>"Affidamento"</f>
        <v>Affidamento</v>
      </c>
      <c r="B238" t="str">
        <f>"Lavori di costruzione dello scolmatore Limenella - Fossetta - Lavori di Completamento - INTERVENTO N. 11 - LOTTO B. Lavori di fornitura e posa in opera del nuovo sistema di telecontrollo della paratoia Morandi (Via Timavo - PD)"</f>
        <v>Lavori di costruzione dello scolmatore Limenella - Fossetta - Lavori di Completamento - INTERVENTO N. 11 - LOTTO B. Lavori di fornitura e posa in opera del nuovo sistema di telecontrollo della paratoia Morandi (Via Timavo - PD)</v>
      </c>
      <c r="C238" t="str">
        <f>"Z291949CE8"</f>
        <v>Z291949CE8</v>
      </c>
      <c r="D238" t="str">
        <f>"04/11/2021"</f>
        <v>04/11/2021</v>
      </c>
      <c r="E238" t="str">
        <f>""</f>
        <v/>
      </c>
      <c r="F238" t="str">
        <f>""</f>
        <v/>
      </c>
      <c r="G238" t="str">
        <f>"0.00"</f>
        <v>0.00</v>
      </c>
      <c r="H238" t="str">
        <f>"Consorzio di bonifica Bacchiglione"</f>
        <v>Consorzio di bonifica Bacchiglione</v>
      </c>
      <c r="I238" t="str">
        <f>"92223390284"</f>
        <v>92223390284</v>
      </c>
      <c r="J238" t="str">
        <f>"23-AFFIDAMENTO DIRETTO"</f>
        <v>23-AFFIDAMENTO DIRETTO</v>
      </c>
      <c r="K238" t="str">
        <f>"04/11/2021"</f>
        <v>04/11/2021</v>
      </c>
      <c r="L238" t="str">
        <f>"31/12/2021"</f>
        <v>31/12/2021</v>
      </c>
      <c r="M238" t="str">
        <f>""</f>
        <v/>
      </c>
      <c r="N238" t="str">
        <f>"Picello s.r.l. | A.S.P. Tecnologie srl | GPG S.r.l."</f>
        <v>Picello s.r.l. | A.S.P. Tecnologie srl | GPG S.r.l.</v>
      </c>
      <c r="O238" t="str">
        <f>""</f>
        <v/>
      </c>
      <c r="P238" t="str">
        <f>"Z291949CE8: [0.00€ ]"</f>
        <v>Z291949CE8: [0.00€ ]</v>
      </c>
      <c r="Q238" t="str">
        <f>""</f>
        <v/>
      </c>
      <c r="R238" t="str">
        <f>""</f>
        <v/>
      </c>
      <c r="S238" t="str">
        <f>""</f>
        <v/>
      </c>
      <c r="T238" t="s">
        <v>61</v>
      </c>
      <c r="U238" t="str">
        <f>""</f>
        <v/>
      </c>
      <c r="V23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39" spans="1:22" x14ac:dyDescent="0.3">
      <c r="A239" t="str">
        <f>"Affidamento"</f>
        <v>Affidamento</v>
      </c>
      <c r="B239" t="str">
        <f>"Fornitura gasolio autotrazione per mezzi Consorziali"</f>
        <v>Fornitura gasolio autotrazione per mezzi Consorziali</v>
      </c>
      <c r="C239" t="str">
        <f>"Z5F33C0975"</f>
        <v>Z5F33C0975</v>
      </c>
      <c r="D239" t="str">
        <f>"08/11/2021"</f>
        <v>08/11/2021</v>
      </c>
      <c r="E239" t="str">
        <f>""</f>
        <v/>
      </c>
      <c r="F239" t="str">
        <f>""</f>
        <v/>
      </c>
      <c r="G239" t="str">
        <f>"19672.13"</f>
        <v>19672.13</v>
      </c>
      <c r="H239" t="str">
        <f>"Consorzio di bonifica Bacchiglione"</f>
        <v>Consorzio di bonifica Bacchiglione</v>
      </c>
      <c r="I239" t="str">
        <f>"92223390284"</f>
        <v>92223390284</v>
      </c>
      <c r="J239" t="str">
        <f>"23-AFFIDAMENTO DIRETTO"</f>
        <v>23-AFFIDAMENTO DIRETTO</v>
      </c>
      <c r="K239" t="str">
        <f>"04/11/2021"</f>
        <v>04/11/2021</v>
      </c>
      <c r="L239" t="str">
        <f>"15/03/2022"</f>
        <v>15/03/2022</v>
      </c>
      <c r="M239" t="str">
        <f>""</f>
        <v/>
      </c>
      <c r="N239" t="str">
        <f>"Bogoni s.r.l. Via G. Marconi 53 35030 Vò PD"</f>
        <v>Bogoni s.r.l. Via G. Marconi 53 35030 Vò PD</v>
      </c>
      <c r="O239" t="str">
        <f>"Bogoni s.r.l. Via G. Marconi 53 35030 Vò PD"</f>
        <v>Bogoni s.r.l. Via G. Marconi 53 35030 Vò PD</v>
      </c>
      <c r="P239" t="s">
        <v>152</v>
      </c>
      <c r="Q239" t="str">
        <f>""</f>
        <v/>
      </c>
      <c r="R239" t="str">
        <f>""</f>
        <v/>
      </c>
      <c r="S239" t="str">
        <f>""</f>
        <v/>
      </c>
      <c r="T239" t="str">
        <f>"https://portaletrasparenza.consorziobacchiglione.it/dettagli/attodigara/7260/fornitura-gasolio-autotrazione-per-mezzi-consorziali.html"</f>
        <v>https://portaletrasparenza.consorziobacchiglione.it/dettagli/attodigara/7260/fornitura-gasolio-autotrazione-per-mezzi-consorziali.html</v>
      </c>
      <c r="U239" t="str">
        <f>"https://portaletrasparenza.consorziobacchiglione.it/download/attodigara/7260/63ac45e539319.PDF"</f>
        <v>https://portaletrasparenza.consorziobacchiglione.it/download/attodigara/7260/63ac45e539319.PDF</v>
      </c>
      <c r="V2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40" spans="1:22" x14ac:dyDescent="0.3">
      <c r="A240" t="str">
        <f>"Affidamento"</f>
        <v>Affidamento</v>
      </c>
      <c r="B240" t="str">
        <f>"Fornitura gasolio agricolo per mezzi Consorziali"</f>
        <v>Fornitura gasolio agricolo per mezzi Consorziali</v>
      </c>
      <c r="C240" t="str">
        <f>"ZC333C0218"</f>
        <v>ZC333C0218</v>
      </c>
      <c r="D240" t="str">
        <f>"08/11/2021"</f>
        <v>08/11/2021</v>
      </c>
      <c r="E240" t="str">
        <f>""</f>
        <v/>
      </c>
      <c r="F240" t="str">
        <f>""</f>
        <v/>
      </c>
      <c r="G240" t="str">
        <f>"38181.82"</f>
        <v>38181.82</v>
      </c>
      <c r="H240" t="str">
        <f>"Consorzio di bonifica Bacchiglione"</f>
        <v>Consorzio di bonifica Bacchiglione</v>
      </c>
      <c r="I240" t="str">
        <f>"92223390284"</f>
        <v>92223390284</v>
      </c>
      <c r="J240" t="str">
        <f>"23-AFFIDAMENTO DIRETTO"</f>
        <v>23-AFFIDAMENTO DIRETTO</v>
      </c>
      <c r="K240" t="str">
        <f>"04/11/2021"</f>
        <v>04/11/2021</v>
      </c>
      <c r="L240" t="str">
        <f>"02/02/2022"</f>
        <v>02/02/2022</v>
      </c>
      <c r="M240" t="str">
        <f>""</f>
        <v/>
      </c>
      <c r="N240" t="str">
        <f>"Bogoni s.r.l. Via G. Marconi 53 35030 Vò PD"</f>
        <v>Bogoni s.r.l. Via G. Marconi 53 35030 Vò PD</v>
      </c>
      <c r="O240" t="str">
        <f>"Bogoni s.r.l. Via G. Marconi 53 35030 Vò PD"</f>
        <v>Bogoni s.r.l. Via G. Marconi 53 35030 Vò PD</v>
      </c>
      <c r="P240" t="s">
        <v>156</v>
      </c>
      <c r="Q240" t="str">
        <f>""</f>
        <v/>
      </c>
      <c r="R240" t="str">
        <f>""</f>
        <v/>
      </c>
      <c r="S240" t="str">
        <f>""</f>
        <v/>
      </c>
      <c r="T240" t="str">
        <f>"https://portaletrasparenza.consorziobacchiglione.it/dettagli/attodigara/7259/fornitura-gasolio-agricolo-per-mezzi-consorziali.html"</f>
        <v>https://portaletrasparenza.consorziobacchiglione.it/dettagli/attodigara/7259/fornitura-gasolio-agricolo-per-mezzi-consorziali.html</v>
      </c>
      <c r="U240" t="str">
        <f>"https://portaletrasparenza.consorziobacchiglione.it/download/attodigara/7259/63ac45e500546.PDF"</f>
        <v>https://portaletrasparenza.consorziobacchiglione.it/download/attodigara/7259/63ac45e500546.PDF</v>
      </c>
      <c r="V2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41" spans="1:22" x14ac:dyDescent="0.3">
      <c r="A241" t="str">
        <f>"Affidamento"</f>
        <v>Affidamento</v>
      </c>
      <c r="B241" t="str">
        <f>"Riconfinamento area Consorziale Codevigo, Via Brentella DX - Area Nodo di Tassia per individuazione confine e successiva posa recinzione."</f>
        <v>Riconfinamento area Consorziale Codevigo, Via Brentella DX - Area Nodo di Tassia per individuazione confine e successiva posa recinzione.</v>
      </c>
      <c r="C241" t="str">
        <f>"Z1033C262B"</f>
        <v>Z1033C262B</v>
      </c>
      <c r="D241" t="str">
        <f>"08/11/2021"</f>
        <v>08/11/2021</v>
      </c>
      <c r="E241" t="str">
        <f>""</f>
        <v/>
      </c>
      <c r="F241" t="str">
        <f>""</f>
        <v/>
      </c>
      <c r="G241" t="str">
        <f>"525.00"</f>
        <v>525.00</v>
      </c>
      <c r="H241" t="str">
        <f>"Consorzio di bonifica Bacchiglione"</f>
        <v>Consorzio di bonifica Bacchiglione</v>
      </c>
      <c r="I241" t="str">
        <f>"92223390284"</f>
        <v>92223390284</v>
      </c>
      <c r="J241" t="str">
        <f>"23-AFFIDAMENTO DIRETTO"</f>
        <v>23-AFFIDAMENTO DIRETTO</v>
      </c>
      <c r="K241" t="str">
        <f>"04/11/2021"</f>
        <v>04/11/2021</v>
      </c>
      <c r="L241" t="str">
        <f>"02/12/2021"</f>
        <v>02/12/2021</v>
      </c>
      <c r="M241" t="str">
        <f>""</f>
        <v/>
      </c>
      <c r="N241" t="str">
        <f>"AP Studio Geom.Pizzeghello Angelo Via San Paolo 18, 35020 Sant'Angelo di Piove di Sacco (PD)"</f>
        <v>AP Studio Geom.Pizzeghello Angelo Via San Paolo 18, 35020 Sant'Angelo di Piove di Sacco (PD)</v>
      </c>
      <c r="O241" t="str">
        <f>"AP Studio Geom.Pizzeghello Angelo Via San Paolo 18, 35020 Sant'Angelo di Piove di Sacco (PD)"</f>
        <v>AP Studio Geom.Pizzeghello Angelo Via San Paolo 18, 35020 Sant'Angelo di Piove di Sacco (PD)</v>
      </c>
      <c r="P241" t="s">
        <v>262</v>
      </c>
      <c r="Q241" t="str">
        <f>""</f>
        <v/>
      </c>
      <c r="R241" t="str">
        <f>""</f>
        <v/>
      </c>
      <c r="S241" t="str">
        <f>""</f>
        <v/>
      </c>
      <c r="T241" t="str">
        <f>"https://portaletrasparenza.consorziobacchiglione.it/dettagli/attodigara/7261/riconfinamento-area-consorziale-codevigo-via-brentella-dx-area-nodo-di-tassia-per-individuazione-confine-e-successiva-posa-recinzione.html"</f>
        <v>https://portaletrasparenza.consorziobacchiglione.it/dettagli/attodigara/7261/riconfinamento-area-consorziale-codevigo-via-brentella-dx-area-nodo-di-tassia-per-individuazione-confine-e-successiva-posa-recinzione.html</v>
      </c>
      <c r="U241" t="str">
        <f>"https://portaletrasparenza.consorziobacchiglione.it/download/attodigara/7261/63ac45e572165.PDF"</f>
        <v>https://portaletrasparenza.consorziobacchiglione.it/download/attodigara/7261/63ac45e572165.PDF</v>
      </c>
      <c r="V24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42" spans="1:22" x14ac:dyDescent="0.3">
      <c r="A242" t="str">
        <f>"Affidamento"</f>
        <v>Affidamento</v>
      </c>
      <c r="B242" t="str">
        <f>"ID 16-20 FORNITURA E POSA DI BARRIERE DI SICUREZZA STRADALE IN ACCIAIO ZINCATO PRESSO PONTE IN VIA BOLIGO - SOSTITUISCE E ANNULLA LA DETERMINA 938 - CAUSA CORREZIONE MODULO"</f>
        <v>ID 16-20 FORNITURA E POSA DI BARRIERE DI SICUREZZA STRADALE IN ACCIAIO ZINCATO PRESSO PONTE IN VIA BOLIGO - SOSTITUISCE E ANNULLA LA DETERMINA 938 - CAUSA CORREZIONE MODULO</v>
      </c>
      <c r="C242" t="str">
        <f>"ZB32FE1D54"</f>
        <v>ZB32FE1D54</v>
      </c>
      <c r="D242" t="str">
        <f>"07/01/2021"</f>
        <v>07/01/2021</v>
      </c>
      <c r="E242" t="str">
        <f>""</f>
        <v/>
      </c>
      <c r="F242" t="str">
        <f>""</f>
        <v/>
      </c>
      <c r="G242" t="str">
        <f>"4440.00"</f>
        <v>4440.00</v>
      </c>
      <c r="H242" t="str">
        <f>"CONSORZIO DI BONIFICA BACCHIGLIONE"</f>
        <v>CONSORZIO DI BONIFICA BACCHIGLIONE</v>
      </c>
      <c r="I242" t="str">
        <f>"92223390284"</f>
        <v>92223390284</v>
      </c>
      <c r="J242" t="str">
        <f>"23-AFFIDAMENTO DIRETTO"</f>
        <v>23-AFFIDAMENTO DIRETTO</v>
      </c>
      <c r="K242" t="str">
        <f>"05/01/2021"</f>
        <v>05/01/2021</v>
      </c>
      <c r="L242" t="str">
        <f>"03/03/2021"</f>
        <v>03/03/2021</v>
      </c>
      <c r="M242" t="str">
        <f>""</f>
        <v/>
      </c>
      <c r="N242" t="str">
        <f>"Conte Rino E Figli Snc | F.LLI CONTE SNC DI CONTE EMILIO &amp; C."</f>
        <v>Conte Rino E Figli Snc | F.LLI CONTE SNC DI CONTE EMILIO &amp; C.</v>
      </c>
      <c r="O242" t="str">
        <f>"F.LLI CONTE SNC DI CONTE EMILIO &amp; C."</f>
        <v>F.LLI CONTE SNC DI CONTE EMILIO &amp; C.</v>
      </c>
      <c r="P242" t="str">
        <f>"ZB32FE1D54: [4440.00€ ]"</f>
        <v>ZB32FE1D54: [4440.00€ ]</v>
      </c>
      <c r="Q242" t="str">
        <f>""</f>
        <v/>
      </c>
      <c r="R242" t="str">
        <f>""</f>
        <v/>
      </c>
      <c r="S242" t="str">
        <f>""</f>
        <v/>
      </c>
      <c r="T242" t="str">
        <f>"https://portaletrasparenza.consorziobacchiglione.it/dettagli/attodigara/4087/id-16-20-fornitura-e-posa-di-barriere-di-sicurezza-stradale-in-acciaio-zincato-presso-ponte-in-via-boligo-sostituisce-e-annulla-la-determina-938-causa-correzione-modulo.html"</f>
        <v>https://portaletrasparenza.consorziobacchiglione.it/dettagli/attodigara/4087/id-16-20-fornitura-e-posa-di-barriere-di-sicurezza-stradale-in-acciaio-zincato-presso-ponte-in-via-boligo-sostituisce-e-annulla-la-determina-938-causa-correzione-modulo.html</v>
      </c>
      <c r="U242" t="str">
        <f>"https://portaletrasparenza.consorziobacchiglione.it/download/attodigara/4087/62a2094d7dfc8.PDF"</f>
        <v>https://portaletrasparenza.consorziobacchiglione.it/download/attodigara/4087/62a2094d7dfc8.PDF</v>
      </c>
      <c r="V2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43" spans="1:22" x14ac:dyDescent="0.3">
      <c r="A243" t="str">
        <f>"Affidamento"</f>
        <v>Affidamento</v>
      </c>
      <c r="B243" t="str">
        <f>"Fornitura materiale medico per cassette di primo soccorso"</f>
        <v>Fornitura materiale medico per cassette di primo soccorso</v>
      </c>
      <c r="C243" t="str">
        <f>"Z583016C70"</f>
        <v>Z583016C70</v>
      </c>
      <c r="D243" t="str">
        <f>"05/01/2021"</f>
        <v>05/01/2021</v>
      </c>
      <c r="E243" t="str">
        <f>""</f>
        <v/>
      </c>
      <c r="F243" t="str">
        <f>""</f>
        <v/>
      </c>
      <c r="G243" t="str">
        <f>"616.16"</f>
        <v>616.16</v>
      </c>
      <c r="H243" t="str">
        <f>"Consorzio di bonifica Bacchiglione"</f>
        <v>Consorzio di bonifica Bacchiglione</v>
      </c>
      <c r="I243" t="str">
        <f>"92223390284"</f>
        <v>92223390284</v>
      </c>
      <c r="J243" t="str">
        <f>"23-AFFIDAMENTO DIRETTO"</f>
        <v>23-AFFIDAMENTO DIRETTO</v>
      </c>
      <c r="K243" t="str">
        <f>"05/01/2021"</f>
        <v>05/01/2021</v>
      </c>
      <c r="L243" t="str">
        <f>"05/01/2021"</f>
        <v>05/01/2021</v>
      </c>
      <c r="M243" t="str">
        <f>""</f>
        <v/>
      </c>
      <c r="N243" t="str">
        <f>"Bergamaschi Antincendi Antinfortunistica Padova s.r.l. Via G. Galilei 2-I 35030 Caselle di Selvazzano PD"</f>
        <v>Bergamaschi Antincendi Antinfortunistica Padova s.r.l. Via G. Galilei 2-I 35030 Caselle di Selvazzano PD</v>
      </c>
      <c r="O243" t="str">
        <f>"Bergamaschi Antincendi Antinfortunistica Padova s.r.l. Via G. Galilei 2-I 35030 Caselle di Selvazzano PD"</f>
        <v>Bergamaschi Antincendi Antinfortunistica Padova s.r.l. Via G. Galilei 2-I 35030 Caselle di Selvazzano PD</v>
      </c>
      <c r="P243" t="str">
        <f>"Z583016C70: [616.16€ ]"</f>
        <v>Z583016C70: [616.16€ ]</v>
      </c>
      <c r="Q243" t="str">
        <f>""</f>
        <v/>
      </c>
      <c r="R243" t="str">
        <f>""</f>
        <v/>
      </c>
      <c r="S243" t="str">
        <f>""</f>
        <v/>
      </c>
      <c r="T243" t="str">
        <f>"https://portaletrasparenza.consorziobacchiglione.it/dettagli/attodigara/6523/fornitura-materiale-medico-per-cassette-di-primo-soccorso.html"</f>
        <v>https://portaletrasparenza.consorziobacchiglione.it/dettagli/attodigara/6523/fornitura-materiale-medico-per-cassette-di-primo-soccorso.html</v>
      </c>
      <c r="U243" t="str">
        <f>"https://portaletrasparenza.consorziobacchiglione.it/download/attodigara/6523/63ac4543693ff.PDF"</f>
        <v>https://portaletrasparenza.consorziobacchiglione.it/download/attodigara/6523/63ac4543693ff.PDF</v>
      </c>
      <c r="V24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44" spans="1:22" x14ac:dyDescent="0.3">
      <c r="A244" t="str">
        <f>"Affidamento"</f>
        <v>Affidamento</v>
      </c>
      <c r="B244" t="str">
        <f>"Manutenzione G.E presso Idrovora Saracinesca"</f>
        <v>Manutenzione G.E presso Idrovora Saracinesca</v>
      </c>
      <c r="C244" t="str">
        <f>"ZA630166FD"</f>
        <v>ZA630166FD</v>
      </c>
      <c r="D244" t="str">
        <f>"05/01/2021"</f>
        <v>05/01/2021</v>
      </c>
      <c r="E244" t="str">
        <f>""</f>
        <v/>
      </c>
      <c r="F244" t="str">
        <f>""</f>
        <v/>
      </c>
      <c r="G244" t="str">
        <f>"3900.00"</f>
        <v>3900.00</v>
      </c>
      <c r="H244" t="str">
        <f>"Consorzio di bonifica Bacchiglione"</f>
        <v>Consorzio di bonifica Bacchiglione</v>
      </c>
      <c r="I244" t="str">
        <f>"92223390284"</f>
        <v>92223390284</v>
      </c>
      <c r="J244" t="str">
        <f>"23-AFFIDAMENTO DIRETTO"</f>
        <v>23-AFFIDAMENTO DIRETTO</v>
      </c>
      <c r="K244" t="str">
        <f>"05/01/2021"</f>
        <v>05/01/2021</v>
      </c>
      <c r="L244" t="str">
        <f>"11/01/2021"</f>
        <v>11/01/2021</v>
      </c>
      <c r="M244" t="str">
        <f>""</f>
        <v/>
      </c>
      <c r="N244" t="str">
        <f>"Italmotori S.r.l. Corso Milano 83 35139 Padova"</f>
        <v>Italmotori S.r.l. Corso Milano 83 35139 Padova</v>
      </c>
      <c r="O244" t="str">
        <f>"Italmotori S.r.l. Corso Milano 83 35139 Padova"</f>
        <v>Italmotori S.r.l. Corso Milano 83 35139 Padova</v>
      </c>
      <c r="P244" t="str">
        <f>"ZA630166FD: [3900.00€ ]"</f>
        <v>ZA630166FD: [3900.00€ ]</v>
      </c>
      <c r="Q244" t="str">
        <f>""</f>
        <v/>
      </c>
      <c r="R244" t="str">
        <f>""</f>
        <v/>
      </c>
      <c r="S244" t="str">
        <f>""</f>
        <v/>
      </c>
      <c r="T244" t="str">
        <f>"https://portaletrasparenza.consorziobacchiglione.it/dettagli/attodigara/6522/manutenzione-g-e-presso-idrovora-saracinesca.html"</f>
        <v>https://portaletrasparenza.consorziobacchiglione.it/dettagli/attodigara/6522/manutenzione-g-e-presso-idrovora-saracinesca.html</v>
      </c>
      <c r="U244" t="str">
        <f>"https://portaletrasparenza.consorziobacchiglione.it/download/attodigara/6522/63ac454330c58.PDF"</f>
        <v>https://portaletrasparenza.consorziobacchiglione.it/download/attodigara/6522/63ac454330c58.PDF</v>
      </c>
      <c r="V24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45" spans="1:22" x14ac:dyDescent="0.3">
      <c r="A245" t="str">
        <f>"Affidamento"</f>
        <v>Affidamento</v>
      </c>
      <c r="B245" t="str">
        <f>"Esecuzione della prima verifica periodica su escavatore-gru Liebherr A914 targa ALE158, n. fabbrica WLHZ1507KZK113929, matr. INAIL 2020/2/00007/PD."</f>
        <v>Esecuzione della prima verifica periodica su escavatore-gru Liebherr A914 targa ALE158, n. fabbrica WLHZ1507KZK113929, matr. INAIL 2020/2/00007/PD.</v>
      </c>
      <c r="C245" t="str">
        <f>"Z6C3016515"</f>
        <v>Z6C3016515</v>
      </c>
      <c r="D245" t="str">
        <f>"05/01/2021"</f>
        <v>05/01/2021</v>
      </c>
      <c r="E245" t="str">
        <f>""</f>
        <v/>
      </c>
      <c r="F245" t="str">
        <f>""</f>
        <v/>
      </c>
      <c r="G245" t="str">
        <f>"269.35"</f>
        <v>269.35</v>
      </c>
      <c r="H245" t="str">
        <f>"Consorzio di bonifica Bacchiglione"</f>
        <v>Consorzio di bonifica Bacchiglione</v>
      </c>
      <c r="I245" t="str">
        <f>"92223390284"</f>
        <v>92223390284</v>
      </c>
      <c r="J245" t="str">
        <f>"23-AFFIDAMENTO DIRETTO"</f>
        <v>23-AFFIDAMENTO DIRETTO</v>
      </c>
      <c r="K245" t="str">
        <f>"05/01/2021"</f>
        <v>05/01/2021</v>
      </c>
      <c r="L245" t="str">
        <f>"28/01/2021"</f>
        <v>28/01/2021</v>
      </c>
      <c r="M245" t="str">
        <f>""</f>
        <v/>
      </c>
      <c r="N245" t="str">
        <f>"CTE Certificazioni S.r.l Via Monte Sabotino 12-b 35020 Ponte San Nicolò PD"</f>
        <v>CTE Certificazioni S.r.l Via Monte Sabotino 12-b 35020 Ponte San Nicolò PD</v>
      </c>
      <c r="O245" t="str">
        <f>"CTE Certificazioni S.r.l Via Monte Sabotino 12-b 35020 Ponte San Nicolò PD"</f>
        <v>CTE Certificazioni S.r.l Via Monte Sabotino 12-b 35020 Ponte San Nicolò PD</v>
      </c>
      <c r="P245" t="str">
        <f>"Z6C3016515: [269.35€ ]"</f>
        <v>Z6C3016515: [269.35€ ]</v>
      </c>
      <c r="Q245" t="str">
        <f>""</f>
        <v/>
      </c>
      <c r="R245" t="str">
        <f>""</f>
        <v/>
      </c>
      <c r="S245" t="str">
        <f>""</f>
        <v/>
      </c>
      <c r="T245" t="str">
        <f>"https://portaletrasparenza.consorziobacchiglione.it/dettagli/attodigara/6521/esecuzione-della-prima-verifica-periodica-su-escavatore-gru-liebherr-a914-targa-ale158-n-fabbrica-wlhz1507kzk113929-matr-inail-2020-2-00007-pd.html"</f>
        <v>https://portaletrasparenza.consorziobacchiglione.it/dettagli/attodigara/6521/esecuzione-della-prima-verifica-periodica-su-escavatore-gru-liebherr-a914-targa-ale158-n-fabbrica-wlhz1507kzk113929-matr-inail-2020-2-00007-pd.html</v>
      </c>
      <c r="U245" t="str">
        <f>"https://portaletrasparenza.consorziobacchiglione.it/download/attodigara/6521/63ac4542ecc69.PDF"</f>
        <v>https://portaletrasparenza.consorziobacchiglione.it/download/attodigara/6521/63ac4542ecc69.PDF</v>
      </c>
      <c r="V24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46" spans="1:22" x14ac:dyDescent="0.3">
      <c r="A246" t="str">
        <f>"Affidamento"</f>
        <v>Affidamento</v>
      </c>
      <c r="B246" t="str">
        <f>"Controllo semestrale gru con rilascio scheda su mezzi con targa: EW930NS, EP107XC, DN881SC"</f>
        <v>Controllo semestrale gru con rilascio scheda su mezzi con targa: EW930NS, EP107XC, DN881SC</v>
      </c>
      <c r="C246" t="str">
        <f>"Z8F3015CDE"</f>
        <v>Z8F3015CDE</v>
      </c>
      <c r="D246" t="str">
        <f>"05/01/2021"</f>
        <v>05/01/2021</v>
      </c>
      <c r="E246" t="str">
        <f>""</f>
        <v/>
      </c>
      <c r="F246" t="str">
        <f>""</f>
        <v/>
      </c>
      <c r="G246" t="str">
        <f>"720.00"</f>
        <v>720.00</v>
      </c>
      <c r="H246" t="str">
        <f>"Consorzio di bonifica Bacchiglione"</f>
        <v>Consorzio di bonifica Bacchiglione</v>
      </c>
      <c r="I246" t="str">
        <f>"92223390284"</f>
        <v>92223390284</v>
      </c>
      <c r="J246" t="str">
        <f>"23-AFFIDAMENTO DIRETTO"</f>
        <v>23-AFFIDAMENTO DIRETTO</v>
      </c>
      <c r="K246" t="str">
        <f>"05/01/2021"</f>
        <v>05/01/2021</v>
      </c>
      <c r="L246" t="str">
        <f>"11/01/2021"</f>
        <v>11/01/2021</v>
      </c>
      <c r="M246" t="str">
        <f>""</f>
        <v/>
      </c>
      <c r="N246" t="str">
        <f>"Moressa s.r.l. Via Cuccara 2 35020 Due Carrare PD"</f>
        <v>Moressa s.r.l. Via Cuccara 2 35020 Due Carrare PD</v>
      </c>
      <c r="O246" t="str">
        <f>"Moressa s.r.l. Via Cuccara 2 35020 Due Carrare PD"</f>
        <v>Moressa s.r.l. Via Cuccara 2 35020 Due Carrare PD</v>
      </c>
      <c r="P246" t="str">
        <f>"Z8F3015CDE: [720.00€ ]"</f>
        <v>Z8F3015CDE: [720.00€ ]</v>
      </c>
      <c r="Q246" t="str">
        <f>""</f>
        <v/>
      </c>
      <c r="R246" t="str">
        <f>""</f>
        <v/>
      </c>
      <c r="S246" t="str">
        <f>""</f>
        <v/>
      </c>
      <c r="T246" t="str">
        <f>"https://portaletrasparenza.consorziobacchiglione.it/dettagli/attodigara/6518/controllo-semestrale-gru-con-rilascio-scheda-su-mezzi-con-targa-ew930ns-ep107xc-dn881sc.html"</f>
        <v>https://portaletrasparenza.consorziobacchiglione.it/dettagli/attodigara/6518/controllo-semestrale-gru-con-rilascio-scheda-su-mezzi-con-targa-ew930ns-ep107xc-dn881sc.html</v>
      </c>
      <c r="U246" t="str">
        <f>"https://portaletrasparenza.consorziobacchiglione.it/download/attodigara/6518/63ac454243ed5.PDF"</f>
        <v>https://portaletrasparenza.consorziobacchiglione.it/download/attodigara/6518/63ac454243ed5.PDF</v>
      </c>
      <c r="V2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47" spans="1:22" x14ac:dyDescent="0.3">
      <c r="A247" t="str">
        <f>"Affidamento"</f>
        <v>Affidamento</v>
      </c>
      <c r="B247" t="str">
        <f>"Fornitura n.10 stivali in gomma antitaglio per Motosega"</f>
        <v>Fornitura n.10 stivali in gomma antitaglio per Motosega</v>
      </c>
      <c r="C247" t="str">
        <f>"Z3F30157F9"</f>
        <v>Z3F30157F9</v>
      </c>
      <c r="D247" t="str">
        <f>"05/01/2021"</f>
        <v>05/01/2021</v>
      </c>
      <c r="E247" t="str">
        <f>""</f>
        <v/>
      </c>
      <c r="F247" t="str">
        <f>""</f>
        <v/>
      </c>
      <c r="G247" t="str">
        <f>"785.90"</f>
        <v>785.90</v>
      </c>
      <c r="H247" t="str">
        <f>"Consorzio di bonifica Bacchiglione"</f>
        <v>Consorzio di bonifica Bacchiglione</v>
      </c>
      <c r="I247" t="str">
        <f>"92223390284"</f>
        <v>92223390284</v>
      </c>
      <c r="J247" t="str">
        <f>"23-AFFIDAMENTO DIRETTO"</f>
        <v>23-AFFIDAMENTO DIRETTO</v>
      </c>
      <c r="K247" t="str">
        <f>"05/01/2021"</f>
        <v>05/01/2021</v>
      </c>
      <c r="L247" t="str">
        <f>"12/01/2021"</f>
        <v>12/01/2021</v>
      </c>
      <c r="M247" t="str">
        <f>""</f>
        <v/>
      </c>
      <c r="N247" t="str">
        <f>"Mini Motor di Vettorato Gabriele Via Puccini 3 35020 Brugine PD"</f>
        <v>Mini Motor di Vettorato Gabriele Via Puccini 3 35020 Brugine PD</v>
      </c>
      <c r="O247" t="str">
        <f>"Mini Motor di Vettorato Gabriele Via Puccini 3 35020 Brugine PD"</f>
        <v>Mini Motor di Vettorato Gabriele Via Puccini 3 35020 Brugine PD</v>
      </c>
      <c r="P247" t="str">
        <f>"Z3F30157F9: [785.90€ ]"</f>
        <v>Z3F30157F9: [785.90€ ]</v>
      </c>
      <c r="Q247" t="str">
        <f>""</f>
        <v/>
      </c>
      <c r="R247" t="str">
        <f>""</f>
        <v/>
      </c>
      <c r="S247" t="str">
        <f>""</f>
        <v/>
      </c>
      <c r="T247" t="str">
        <f>"https://portaletrasparenza.consorziobacchiglione.it/dettagli/attodigara/6517/fornitura-n-10-stivali-in-gomma-antitaglio-per-motosega.html"</f>
        <v>https://portaletrasparenza.consorziobacchiglione.it/dettagli/attodigara/6517/fornitura-n-10-stivali-in-gomma-antitaglio-per-motosega.html</v>
      </c>
      <c r="U247" t="str">
        <f>"https://portaletrasparenza.consorziobacchiglione.it/download/attodigara/6517/63ac45420bb63.PDF"</f>
        <v>https://portaletrasparenza.consorziobacchiglione.it/download/attodigara/6517/63ac45420bb63.PDF</v>
      </c>
      <c r="V24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48" spans="1:22" x14ac:dyDescent="0.3">
      <c r="A248" t="str">
        <f>"Affidamento"</f>
        <v>Affidamento</v>
      </c>
      <c r="B248" t="str">
        <f>"Fornitura coltelli Y fisso più distanziale rotore per tauro del mezzo targato AHH573"</f>
        <v>Fornitura coltelli Y fisso più distanziale rotore per tauro del mezzo targato AHH573</v>
      </c>
      <c r="C248" t="str">
        <f>"Z7A301524E"</f>
        <v>Z7A301524E</v>
      </c>
      <c r="D248" t="str">
        <f>"05/01/2021"</f>
        <v>05/01/2021</v>
      </c>
      <c r="E248" t="str">
        <f>""</f>
        <v/>
      </c>
      <c r="F248" t="str">
        <f>""</f>
        <v/>
      </c>
      <c r="G248" t="str">
        <f>"140.98"</f>
        <v>140.98</v>
      </c>
      <c r="H248" t="str">
        <f>"Consorzio di bonifica Bacchiglione"</f>
        <v>Consorzio di bonifica Bacchiglione</v>
      </c>
      <c r="I248" t="str">
        <f>"92223390284"</f>
        <v>92223390284</v>
      </c>
      <c r="J248" t="str">
        <f>"23-AFFIDAMENTO DIRETTO"</f>
        <v>23-AFFIDAMENTO DIRETTO</v>
      </c>
      <c r="K248" t="str">
        <f>"05/01/2021"</f>
        <v>05/01/2021</v>
      </c>
      <c r="L248" t="str">
        <f>"11/01/2021"</f>
        <v>11/01/2021</v>
      </c>
      <c r="M248" t="str">
        <f>""</f>
        <v/>
      </c>
      <c r="N248" t="str">
        <f>"Hymach s.r.l. Viale del Commercio 73 45039 Stienta RO"</f>
        <v>Hymach s.r.l. Viale del Commercio 73 45039 Stienta RO</v>
      </c>
      <c r="O248" t="str">
        <f>"Hymach s.r.l. Viale del Commercio 73 45039 Stienta RO"</f>
        <v>Hymach s.r.l. Viale del Commercio 73 45039 Stienta RO</v>
      </c>
      <c r="P248" t="str">
        <f>"Z7A301524E: [140.98€ ]"</f>
        <v>Z7A301524E: [140.98€ ]</v>
      </c>
      <c r="Q248" t="str">
        <f>""</f>
        <v/>
      </c>
      <c r="R248" t="str">
        <f>""</f>
        <v/>
      </c>
      <c r="S248" t="str">
        <f>""</f>
        <v/>
      </c>
      <c r="T248" t="str">
        <f>"https://portaletrasparenza.consorziobacchiglione.it/dettagli/attodigara/6515/fornitura-coltelli-y-fisso-piu-distanziale-rotore-per-tauro-del-mezzo-targato-ahh573.html"</f>
        <v>https://portaletrasparenza.consorziobacchiglione.it/dettagli/attodigara/6515/fornitura-coltelli-y-fisso-piu-distanziale-rotore-per-tauro-del-mezzo-targato-ahh573.html</v>
      </c>
      <c r="U248" t="str">
        <f>"https://portaletrasparenza.consorziobacchiglione.it/download/attodigara/6515/63ac45418ee49.PDF"</f>
        <v>https://portaletrasparenza.consorziobacchiglione.it/download/attodigara/6515/63ac45418ee49.PDF</v>
      </c>
      <c r="V2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49" spans="1:22" x14ac:dyDescent="0.3">
      <c r="A249" t="str">
        <f>"Affidamento"</f>
        <v>Affidamento</v>
      </c>
      <c r="B249" t="str">
        <f>"Sistemazione manto di copertura in tegole e delle grondaie presso abitazione dell Impianto Bernio"</f>
        <v>Sistemazione manto di copertura in tegole e delle grondaie presso abitazione dell Impianto Bernio</v>
      </c>
      <c r="C249" t="str">
        <f>"ZBC301507C"</f>
        <v>ZBC301507C</v>
      </c>
      <c r="D249" t="str">
        <f>"05/01/2021"</f>
        <v>05/01/2021</v>
      </c>
      <c r="E249" t="str">
        <f>""</f>
        <v/>
      </c>
      <c r="F249" t="str">
        <f>""</f>
        <v/>
      </c>
      <c r="G249" t="str">
        <f>"12450.00"</f>
        <v>12450.00</v>
      </c>
      <c r="H249" t="str">
        <f>"Consorzio di bonifica Bacchiglione"</f>
        <v>Consorzio di bonifica Bacchiglione</v>
      </c>
      <c r="I249" t="str">
        <f>"92223390284"</f>
        <v>92223390284</v>
      </c>
      <c r="J249" t="str">
        <f>"23-AFFIDAMENTO DIRETTO"</f>
        <v>23-AFFIDAMENTO DIRETTO</v>
      </c>
      <c r="K249" t="str">
        <f>"05/01/2021"</f>
        <v>05/01/2021</v>
      </c>
      <c r="L249" t="str">
        <f>"04/06/2021"</f>
        <v>04/06/2021</v>
      </c>
      <c r="M249" t="str">
        <f>""</f>
        <v/>
      </c>
      <c r="N249" t="str">
        <f>"Frizzarin Carlo Srl Via S.Mauro 12 - 35036 Montegrotto Terme (PD)"</f>
        <v>Frizzarin Carlo Srl Via S.Mauro 12 - 35036 Montegrotto Terme (PD)</v>
      </c>
      <c r="O249" t="str">
        <f>"Frizzarin Carlo Srl Via S.Mauro 12 - 35036 Montegrotto Terme (PD)"</f>
        <v>Frizzarin Carlo Srl Via S.Mauro 12 - 35036 Montegrotto Terme (PD)</v>
      </c>
      <c r="P249" t="str">
        <f>"ZBC301507C: [12450.00€ ]"</f>
        <v>ZBC301507C: [12450.00€ ]</v>
      </c>
      <c r="Q249" t="str">
        <f>""</f>
        <v/>
      </c>
      <c r="R249" t="str">
        <f>""</f>
        <v/>
      </c>
      <c r="S249" t="str">
        <f>""</f>
        <v/>
      </c>
      <c r="T249" t="str">
        <f>"https://portaletrasparenza.consorziobacchiglione.it/dettagli/attodigara/6514/sistemazione-manto-di-copertura-in-tegole-e-delle-grondaie-presso-abitazione-dell-impianto-bernio.html"</f>
        <v>https://portaletrasparenza.consorziobacchiglione.it/dettagli/attodigara/6514/sistemazione-manto-di-copertura-in-tegole-e-delle-grondaie-presso-abitazione-dell-impianto-bernio.html</v>
      </c>
      <c r="U249" t="str">
        <f>"https://portaletrasparenza.consorziobacchiglione.it/download/attodigara/6514/63ac4541568b8.PDF"</f>
        <v>https://portaletrasparenza.consorziobacchiglione.it/download/attodigara/6514/63ac4541568b8.PDF</v>
      </c>
      <c r="V2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50" spans="1:22" x14ac:dyDescent="0.3">
      <c r="A250" t="str">
        <f>"Affidamento"</f>
        <v>Affidamento</v>
      </c>
      <c r="B250" t="str">
        <f>"Manutenzione e riparazione mezzo con targa: FT040WG"</f>
        <v>Manutenzione e riparazione mezzo con targa: FT040WG</v>
      </c>
      <c r="C250" t="str">
        <f>"Z5D3015F14"</f>
        <v>Z5D3015F14</v>
      </c>
      <c r="D250" t="str">
        <f>"05/01/2021"</f>
        <v>05/01/2021</v>
      </c>
      <c r="E250" t="str">
        <f>""</f>
        <v/>
      </c>
      <c r="F250" t="str">
        <f>""</f>
        <v/>
      </c>
      <c r="G250" t="str">
        <f>"443.10"</f>
        <v>443.10</v>
      </c>
      <c r="H250" t="str">
        <f>"Consorzio di bonifica Bacchiglione"</f>
        <v>Consorzio di bonifica Bacchiglione</v>
      </c>
      <c r="I250" t="str">
        <f>"92223390284"</f>
        <v>92223390284</v>
      </c>
      <c r="J250" t="str">
        <f>"23-AFFIDAMENTO DIRETTO"</f>
        <v>23-AFFIDAMENTO DIRETTO</v>
      </c>
      <c r="K250" t="str">
        <f>"05/01/2021"</f>
        <v>05/01/2021</v>
      </c>
      <c r="L250" t="str">
        <f>"28/01/2021"</f>
        <v>28/01/2021</v>
      </c>
      <c r="M250" t="str">
        <f>""</f>
        <v/>
      </c>
      <c r="N250" t="str">
        <f>"Officina Autotreni Carraro Franco srl Via Gelsi 79 35028 Piove di Sacco PD"</f>
        <v>Officina Autotreni Carraro Franco srl Via Gelsi 79 35028 Piove di Sacco PD</v>
      </c>
      <c r="O250" t="str">
        <f>"Officina Autotreni Carraro Franco srl Via Gelsi 79 35028 Piove di Sacco PD"</f>
        <v>Officina Autotreni Carraro Franco srl Via Gelsi 79 35028 Piove di Sacco PD</v>
      </c>
      <c r="P250" t="str">
        <f>"Z5D3015F14: [443.00€ ]"</f>
        <v>Z5D3015F14: [443.00€ ]</v>
      </c>
      <c r="Q250" t="str">
        <f>""</f>
        <v/>
      </c>
      <c r="R250" t="str">
        <f>""</f>
        <v/>
      </c>
      <c r="S250" t="str">
        <f>""</f>
        <v/>
      </c>
      <c r="T250" t="str">
        <f>"https://portaletrasparenza.consorziobacchiglione.it/dettagli/attodigara/6519/manutenzione-e-riparazione-mezzo-con-targa-ft040wg.html"</f>
        <v>https://portaletrasparenza.consorziobacchiglione.it/dettagli/attodigara/6519/manutenzione-e-riparazione-mezzo-con-targa-ft040wg.html</v>
      </c>
      <c r="U250" t="str">
        <f>"https://portaletrasparenza.consorziobacchiglione.it/download/attodigara/6519/63ac45427c2c2.PDF"</f>
        <v>https://portaletrasparenza.consorziobacchiglione.it/download/attodigara/6519/63ac45427c2c2.PDF</v>
      </c>
      <c r="V250">
        <f>(SUBSTITUTE(Tabella1[[#This Row],[Importo di aggiudicazione]],".",","))-(SUBSTITUTE(  SUBSTITUTE(          SUBSTITUTE(Tabella1[[#This Row],[Dettaglio somme liquidate]],Tabella1[[#This Row],[CIG]]&amp;": [",""),"€ ]",""),".",","))</f>
        <v>0.10000000000002274</v>
      </c>
    </row>
    <row r="251" spans="1:22" x14ac:dyDescent="0.3">
      <c r="A251" t="str">
        <f>"Affidamento"</f>
        <v>Affidamento</v>
      </c>
      <c r="B251" t="str">
        <f>"Manutenzione e riparazione mezzi con targa: AHH573, FF936PM"</f>
        <v>Manutenzione e riparazione mezzi con targa: AHH573, FF936PM</v>
      </c>
      <c r="C251" t="str">
        <f>"ZA530161D1"</f>
        <v>ZA530161D1</v>
      </c>
      <c r="D251" t="str">
        <f>"05/01/2021"</f>
        <v>05/01/2021</v>
      </c>
      <c r="E251" t="str">
        <f>""</f>
        <v/>
      </c>
      <c r="F251" t="str">
        <f>""</f>
        <v/>
      </c>
      <c r="G251" t="str">
        <f>"460.42"</f>
        <v>460.42</v>
      </c>
      <c r="H251" t="str">
        <f>"Consorzio di bonifica Bacchiglione"</f>
        <v>Consorzio di bonifica Bacchiglione</v>
      </c>
      <c r="I251" t="str">
        <f>"92223390284"</f>
        <v>92223390284</v>
      </c>
      <c r="J251" t="str">
        <f>"23-AFFIDAMENTO DIRETTO"</f>
        <v>23-AFFIDAMENTO DIRETTO</v>
      </c>
      <c r="K251" t="str">
        <f>"05/01/2021"</f>
        <v>05/01/2021</v>
      </c>
      <c r="L251" t="str">
        <f>"31/12/2021"</f>
        <v>31/12/2021</v>
      </c>
      <c r="M251" t="str">
        <f>""</f>
        <v/>
      </c>
      <c r="N251" t="str">
        <f>"Negrisolo Officina Meccanica s.a.s. V.le delle Industrie II° strada 13 35025 Cagnola di Cartura PD"</f>
        <v>Negrisolo Officina Meccanica s.a.s. V.le delle Industrie II° strada 13 35025 Cagnola di Cartura PD</v>
      </c>
      <c r="O251" t="str">
        <f>"Negrisolo Officina Meccanica s.a.s. V.le delle Industrie II° strada 13 35025 Cagnola di Cartura PD"</f>
        <v>Negrisolo Officina Meccanica s.a.s. V.le delle Industrie II° strada 13 35025 Cagnola di Cartura PD</v>
      </c>
      <c r="P251" t="str">
        <f>"ZA530161D1: [377.39€ ]"</f>
        <v>ZA530161D1: [377.39€ ]</v>
      </c>
      <c r="Q251" t="str">
        <f>""</f>
        <v/>
      </c>
      <c r="R251" t="str">
        <f>""</f>
        <v/>
      </c>
      <c r="S251" t="str">
        <f>""</f>
        <v/>
      </c>
      <c r="T251" t="str">
        <f>"https://portaletrasparenza.consorziobacchiglione.it/dettagli/attodigara/6520/manutenzione-e-riparazione-mezzi-con-targa-ahh573-ff936pm.html"</f>
        <v>https://portaletrasparenza.consorziobacchiglione.it/dettagli/attodigara/6520/manutenzione-e-riparazione-mezzi-con-targa-ahh573-ff936pm.html</v>
      </c>
      <c r="U251" t="str">
        <f>"https://portaletrasparenza.consorziobacchiglione.it/download/attodigara/6520/63ac4542b47cb.PDF"</f>
        <v>https://portaletrasparenza.consorziobacchiglione.it/download/attodigara/6520/63ac4542b47cb.PDF</v>
      </c>
      <c r="V251">
        <f>(SUBSTITUTE(Tabella1[[#This Row],[Importo di aggiudicazione]],".",","))-(SUBSTITUTE(  SUBSTITUTE(          SUBSTITUTE(Tabella1[[#This Row],[Dettaglio somme liquidate]],Tabella1[[#This Row],[CIG]]&amp;": [",""),"€ ]",""),".",","))</f>
        <v>83.03000000000003</v>
      </c>
    </row>
    <row r="252" spans="1:22" x14ac:dyDescent="0.3">
      <c r="A252" t="str">
        <f>"Affidamento"</f>
        <v>Affidamento</v>
      </c>
      <c r="B252" t="str">
        <f>"Fornitura q.li 2000 di stabilizzato per ripristino strada carraia Argine DX scolo Piovini"</f>
        <v>Fornitura q.li 2000 di stabilizzato per ripristino strada carraia Argine DX scolo Piovini</v>
      </c>
      <c r="C252" t="str">
        <f>"Z3030156DF"</f>
        <v>Z3030156DF</v>
      </c>
      <c r="D252" t="str">
        <f>"05/01/2021"</f>
        <v>05/01/2021</v>
      </c>
      <c r="E252" t="str">
        <f>""</f>
        <v/>
      </c>
      <c r="F252" t="str">
        <f>""</f>
        <v/>
      </c>
      <c r="G252" t="str">
        <f>"2700.00"</f>
        <v>2700.00</v>
      </c>
      <c r="H252" t="str">
        <f>"Consorzio di bonifica Bacchiglione"</f>
        <v>Consorzio di bonifica Bacchiglione</v>
      </c>
      <c r="I252" t="str">
        <f>"92223390284"</f>
        <v>92223390284</v>
      </c>
      <c r="J252" t="str">
        <f>"23-AFFIDAMENTO DIRETTO"</f>
        <v>23-AFFIDAMENTO DIRETTO</v>
      </c>
      <c r="K252" t="str">
        <f>"05/01/2021"</f>
        <v>05/01/2021</v>
      </c>
      <c r="L252" t="str">
        <f>"25/01/2021"</f>
        <v>25/01/2021</v>
      </c>
      <c r="M252" t="str">
        <f>""</f>
        <v/>
      </c>
      <c r="N252" t="str">
        <f>"Trovò s.r.l. Via Idrovora, 3 - 35020 Codevigo (PD)"</f>
        <v>Trovò s.r.l. Via Idrovora, 3 - 35020 Codevigo (PD)</v>
      </c>
      <c r="O252" t="str">
        <f>"Trovò s.r.l. Via Idrovora, 3 - 35020 Codevigo (PD)"</f>
        <v>Trovò s.r.l. Via Idrovora, 3 - 35020 Codevigo (PD)</v>
      </c>
      <c r="P252" t="str">
        <f>"Z3030156DF: [2528.82€ ]"</f>
        <v>Z3030156DF: [2528.82€ ]</v>
      </c>
      <c r="Q252" t="str">
        <f>""</f>
        <v/>
      </c>
      <c r="R252" t="str">
        <f>""</f>
        <v/>
      </c>
      <c r="S252" t="str">
        <f>""</f>
        <v/>
      </c>
      <c r="T252" t="str">
        <f>"https://portaletrasparenza.consorziobacchiglione.it/dettagli/attodigara/6516/fornitura-q-li-2000-di-stabilizzato-per-ripristino-strada-carraia-argine-dx-scolo-piovini.html"</f>
        <v>https://portaletrasparenza.consorziobacchiglione.it/dettagli/attodigara/6516/fornitura-q-li-2000-di-stabilizzato-per-ripristino-strada-carraia-argine-dx-scolo-piovini.html</v>
      </c>
      <c r="U252" t="str">
        <f>"https://portaletrasparenza.consorziobacchiglione.it/download/attodigara/6516/63ac4541c74f7.PDF"</f>
        <v>https://portaletrasparenza.consorziobacchiglione.it/download/attodigara/6516/63ac4541c74f7.PDF</v>
      </c>
      <c r="V252">
        <f>(SUBSTITUTE(Tabella1[[#This Row],[Importo di aggiudicazione]],".",","))-(SUBSTITUTE(  SUBSTITUTE(          SUBSTITUTE(Tabella1[[#This Row],[Dettaglio somme liquidate]],Tabella1[[#This Row],[CIG]]&amp;": [",""),"€ ]",""),".",","))</f>
        <v>171.17999999999984</v>
      </c>
    </row>
    <row r="253" spans="1:22" x14ac:dyDescent="0.3">
      <c r="A253" t="str">
        <f>"Affidamento"</f>
        <v>Affidamento</v>
      </c>
      <c r="B253" t="str">
        <f>"Fornitura materiale vario per automezzi Consorziali."</f>
        <v>Fornitura materiale vario per automezzi Consorziali.</v>
      </c>
      <c r="C253" t="str">
        <f>"ZEE18651F3"</f>
        <v>ZEE18651F3</v>
      </c>
      <c r="D253" t="str">
        <f>"04/11/2021"</f>
        <v>04/11/2021</v>
      </c>
      <c r="E253" t="str">
        <f>""</f>
        <v/>
      </c>
      <c r="F253" t="str">
        <f>""</f>
        <v/>
      </c>
      <c r="G253" t="str">
        <f>"179.90"</f>
        <v>179.90</v>
      </c>
      <c r="H253" t="str">
        <f>"Consorzio di bonifica Bacchiglione"</f>
        <v>Consorzio di bonifica Bacchiglione</v>
      </c>
      <c r="I253" t="str">
        <f>"92223390284"</f>
        <v>92223390284</v>
      </c>
      <c r="J253" t="str">
        <f>"23-AFFIDAMENTO DIRETTO"</f>
        <v>23-AFFIDAMENTO DIRETTO</v>
      </c>
      <c r="K253" t="str">
        <f>"05/02/2021"</f>
        <v>05/02/2021</v>
      </c>
      <c r="L253" t="str">
        <f>"24/02/2021"</f>
        <v>24/02/2021</v>
      </c>
      <c r="M253" t="str">
        <f>""</f>
        <v/>
      </c>
      <c r="N253" t="str">
        <f>"Autoricambi s.n.c. di Mardegan Paolo e Manfron Veronica Via A.Valerio 26-28 Piove di Sacco PD"</f>
        <v>Autoricambi s.n.c. di Mardegan Paolo e Manfron Veronica Via A.Valerio 26-28 Piove di Sacco PD</v>
      </c>
      <c r="O253" t="str">
        <f>"Autoricambi s.n.c. di Mardegan Paolo e Manfron Veronica Via A.Valerio 26-28 Piove di Sacco PD"</f>
        <v>Autoricambi s.n.c. di Mardegan Paolo e Manfron Veronica Via A.Valerio 26-28 Piove di Sacco PD</v>
      </c>
      <c r="P253" t="str">
        <f>"ZEE18651F3: [179.90€ ]"</f>
        <v>ZEE18651F3: [179.90€ ]</v>
      </c>
      <c r="Q253" t="str">
        <f>""</f>
        <v/>
      </c>
      <c r="R253" t="str">
        <f>""</f>
        <v/>
      </c>
      <c r="S253" t="str">
        <f>""</f>
        <v/>
      </c>
      <c r="T253" t="str">
        <f>"https://portaletrasparenza.consorziobacchiglione.it/dettagli/attodigara/137/fornitura-materiale-vario-per-automezzi-consorziali.html"</f>
        <v>https://portaletrasparenza.consorziobacchiglione.it/dettagli/attodigara/137/fornitura-materiale-vario-per-automezzi-consorziali.html</v>
      </c>
      <c r="U253" t="str">
        <f>""</f>
        <v/>
      </c>
      <c r="V2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54" spans="1:22" x14ac:dyDescent="0.3">
      <c r="A254" t="str">
        <f>"Affidamento"</f>
        <v>Affidamento</v>
      </c>
      <c r="B254" t="str">
        <f>"Fornitura guanti elettrici per cabina M.T."</f>
        <v>Fornitura guanti elettrici per cabina M.T.</v>
      </c>
      <c r="C254" t="str">
        <f>"ZB71864CEE"</f>
        <v>ZB71864CEE</v>
      </c>
      <c r="D254" t="str">
        <f>"04/11/2021"</f>
        <v>04/11/2021</v>
      </c>
      <c r="E254" t="str">
        <f>""</f>
        <v/>
      </c>
      <c r="F254" t="str">
        <f>""</f>
        <v/>
      </c>
      <c r="G254" t="str">
        <f>"1225.00"</f>
        <v>1225.00</v>
      </c>
      <c r="H254" t="str">
        <f>"Consorzio di bonifica Bacchiglione"</f>
        <v>Consorzio di bonifica Bacchiglione</v>
      </c>
      <c r="I254" t="str">
        <f>"92223390284"</f>
        <v>92223390284</v>
      </c>
      <c r="J254" t="str">
        <f>"23-AFFIDAMENTO DIRETTO"</f>
        <v>23-AFFIDAMENTO DIRETTO</v>
      </c>
      <c r="K254" t="str">
        <f>"05/02/2021"</f>
        <v>05/02/2021</v>
      </c>
      <c r="L254" t="str">
        <f>"06/04/2021"</f>
        <v>06/04/2021</v>
      </c>
      <c r="M254" t="str">
        <f>""</f>
        <v/>
      </c>
      <c r="N254" t="str">
        <f>"SIR Safety System S.p.A. Zona Industriale S. Maria degli Angeli 06088 Assisi PG"</f>
        <v>SIR Safety System S.p.A. Zona Industriale S. Maria degli Angeli 06088 Assisi PG</v>
      </c>
      <c r="O254" t="str">
        <f>"SIR Safety System S.p.A. Zona Industriale S. Maria degli Angeli 06088 Assisi PG"</f>
        <v>SIR Safety System S.p.A. Zona Industriale S. Maria degli Angeli 06088 Assisi PG</v>
      </c>
      <c r="P254" t="str">
        <f>"ZB71864CEE: [1225.00€ ]"</f>
        <v>ZB71864CEE: [1225.00€ ]</v>
      </c>
      <c r="Q254" t="str">
        <f>""</f>
        <v/>
      </c>
      <c r="R254" t="str">
        <f>""</f>
        <v/>
      </c>
      <c r="S254" t="str">
        <f>""</f>
        <v/>
      </c>
      <c r="T254" t="str">
        <f>"https://portaletrasparenza.consorziobacchiglione.it/dettagli/attodigara/135/fornitura-guanti-elettrici-per-cabina-m-t.html"</f>
        <v>https://portaletrasparenza.consorziobacchiglione.it/dettagli/attodigara/135/fornitura-guanti-elettrici-per-cabina-m-t.html</v>
      </c>
      <c r="U254" t="str">
        <f>""</f>
        <v/>
      </c>
      <c r="V2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55" spans="1:22" x14ac:dyDescent="0.3">
      <c r="A255" t="str">
        <f>"Affidamento"</f>
        <v>Affidamento</v>
      </c>
      <c r="B255" t="str">
        <f>"Revisione scale in uso C.O.S.Margherita, C.O.Pratiarcati, C.O.Montà Portello."</f>
        <v>Revisione scale in uso C.O.S.Margherita, C.O.Pratiarcati, C.O.Montà Portello.</v>
      </c>
      <c r="C255" t="str">
        <f>"Z181864B41"</f>
        <v>Z181864B41</v>
      </c>
      <c r="D255" t="str">
        <f>"04/11/2021"</f>
        <v>04/11/2021</v>
      </c>
      <c r="E255" t="str">
        <f>""</f>
        <v/>
      </c>
      <c r="F255" t="str">
        <f>""</f>
        <v/>
      </c>
      <c r="G255" t="str">
        <f>"849.98"</f>
        <v>849.98</v>
      </c>
      <c r="H255" t="str">
        <f>"Consorzio di bonifica Bacchiglione"</f>
        <v>Consorzio di bonifica Bacchiglione</v>
      </c>
      <c r="I255" t="str">
        <f>"92223390284"</f>
        <v>92223390284</v>
      </c>
      <c r="J255" t="str">
        <f>"23-AFFIDAMENTO DIRETTO"</f>
        <v>23-AFFIDAMENTO DIRETTO</v>
      </c>
      <c r="K255" t="str">
        <f>"05/02/2021"</f>
        <v>05/02/2021</v>
      </c>
      <c r="L255" t="str">
        <f>"24/02/2021"</f>
        <v>24/02/2021</v>
      </c>
      <c r="M255" t="str">
        <f>""</f>
        <v/>
      </c>
      <c r="N255" t="str">
        <f>"Scalificio Lasi s.n.c. Via Botte 6 35011 Reschigliano di Campodarsego PD"</f>
        <v>Scalificio Lasi s.n.c. Via Botte 6 35011 Reschigliano di Campodarsego PD</v>
      </c>
      <c r="O255" t="str">
        <f>"Scalificio Lasi s.n.c. Via Botte 6 35011 Reschigliano di Campodarsego PD"</f>
        <v>Scalificio Lasi s.n.c. Via Botte 6 35011 Reschigliano di Campodarsego PD</v>
      </c>
      <c r="P255" t="str">
        <f>"Z181864B41: [849.98€ ]"</f>
        <v>Z181864B41: [849.98€ ]</v>
      </c>
      <c r="Q255" t="str">
        <f>""</f>
        <v/>
      </c>
      <c r="R255" t="str">
        <f>""</f>
        <v/>
      </c>
      <c r="S255" t="str">
        <f>""</f>
        <v/>
      </c>
      <c r="T255" t="str">
        <f>"https://portaletrasparenza.consorziobacchiglione.it/dettagli/attodigara/134/revisione-scale-in-uso-c-o-s-margherita-c-o-pratiarcati-c-o-monta-portello.html"</f>
        <v>https://portaletrasparenza.consorziobacchiglione.it/dettagli/attodigara/134/revisione-scale-in-uso-c-o-s-margherita-c-o-pratiarcati-c-o-monta-portello.html</v>
      </c>
      <c r="U255" t="str">
        <f>""</f>
        <v/>
      </c>
      <c r="V2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56" spans="1:22" x14ac:dyDescent="0.3">
      <c r="A256" t="str">
        <f>"Affidamento"</f>
        <v>Affidamento</v>
      </c>
      <c r="B256" t="str">
        <f>"Fornitura materiale edile o di ferramenta per bacino Sesta Presa."</f>
        <v>Fornitura materiale edile o di ferramenta per bacino Sesta Presa.</v>
      </c>
      <c r="C256" t="str">
        <f>"Z6D18648AC"</f>
        <v>Z6D18648AC</v>
      </c>
      <c r="D256" t="str">
        <f>"04/11/2021"</f>
        <v>04/11/2021</v>
      </c>
      <c r="E256" t="str">
        <f>""</f>
        <v/>
      </c>
      <c r="F256" t="str">
        <f>""</f>
        <v/>
      </c>
      <c r="G256" t="str">
        <f>"525.70"</f>
        <v>525.70</v>
      </c>
      <c r="H256" t="str">
        <f>"Consorzio di bonifica Bacchiglione"</f>
        <v>Consorzio di bonifica Bacchiglione</v>
      </c>
      <c r="I256" t="str">
        <f>"92223390284"</f>
        <v>92223390284</v>
      </c>
      <c r="J256" t="str">
        <f>"23-AFFIDAMENTO DIRETTO"</f>
        <v>23-AFFIDAMENTO DIRETTO</v>
      </c>
      <c r="K256" t="str">
        <f>"05/02/2021"</f>
        <v>05/02/2021</v>
      </c>
      <c r="L256" t="str">
        <f>"10/03/2021"</f>
        <v>10/03/2021</v>
      </c>
      <c r="M256" t="str">
        <f>""</f>
        <v/>
      </c>
      <c r="N256" t="str">
        <f>"Gollo Giovanni Via Vallona 65 35020 Conche di Codevigo PD"</f>
        <v>Gollo Giovanni Via Vallona 65 35020 Conche di Codevigo PD</v>
      </c>
      <c r="O256" t="str">
        <f>"Gollo Giovanni Via Vallona 65 35020 Conche di Codevigo PD"</f>
        <v>Gollo Giovanni Via Vallona 65 35020 Conche di Codevigo PD</v>
      </c>
      <c r="P256" t="str">
        <f>"Z6D18648AC: [525.70€ ]"</f>
        <v>Z6D18648AC: [525.70€ ]</v>
      </c>
      <c r="Q256" t="str">
        <f>""</f>
        <v/>
      </c>
      <c r="R256" t="str">
        <f>""</f>
        <v/>
      </c>
      <c r="S256" t="str">
        <f>""</f>
        <v/>
      </c>
      <c r="T256" t="str">
        <f>"https://portaletrasparenza.consorziobacchiglione.it/dettagli/attodigara/133/fornitura-materiale-edile-o-di-ferramenta-per-bacino-sesta-presa.html"</f>
        <v>https://portaletrasparenza.consorziobacchiglione.it/dettagli/attodigara/133/fornitura-materiale-edile-o-di-ferramenta-per-bacino-sesta-presa.html</v>
      </c>
      <c r="U256" t="str">
        <f>""</f>
        <v/>
      </c>
      <c r="V25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57" spans="1:22" x14ac:dyDescent="0.3">
      <c r="A257" t="str">
        <f>"Affidamento"</f>
        <v>Affidamento</v>
      </c>
      <c r="B257" t="str">
        <f>"Revisione guanti elettrici per cabina M.T."</f>
        <v>Revisione guanti elettrici per cabina M.T.</v>
      </c>
      <c r="C257" t="str">
        <f>"ZF6186502F"</f>
        <v>ZF6186502F</v>
      </c>
      <c r="D257" t="str">
        <f>"04/11/2021"</f>
        <v>04/11/2021</v>
      </c>
      <c r="E257" t="str">
        <f>""</f>
        <v/>
      </c>
      <c r="F257" t="str">
        <f>""</f>
        <v/>
      </c>
      <c r="G257" t="str">
        <f>"429.00"</f>
        <v>429.00</v>
      </c>
      <c r="H257" t="str">
        <f>"Consorzio di bonifica Bacchiglione"</f>
        <v>Consorzio di bonifica Bacchiglione</v>
      </c>
      <c r="I257" t="str">
        <f>"92223390284"</f>
        <v>92223390284</v>
      </c>
      <c r="J257" t="str">
        <f>"23-AFFIDAMENTO DIRETTO"</f>
        <v>23-AFFIDAMENTO DIRETTO</v>
      </c>
      <c r="K257" t="str">
        <f>"05/02/2021"</f>
        <v>05/02/2021</v>
      </c>
      <c r="L257" t="str">
        <f>"11/08/2021"</f>
        <v>11/08/2021</v>
      </c>
      <c r="M257" t="str">
        <f>""</f>
        <v/>
      </c>
      <c r="N257" t="str">
        <f>"SIR Safety System S.p.A. Zona Industriale S. Maria degli Angeli 06088 Assisi PG"</f>
        <v>SIR Safety System S.p.A. Zona Industriale S. Maria degli Angeli 06088 Assisi PG</v>
      </c>
      <c r="O257" t="str">
        <f>"SIR Safety System S.p.A. Zona Industriale S. Maria degli Angeli 06088 Assisi PG"</f>
        <v>SIR Safety System S.p.A. Zona Industriale S. Maria degli Angeli 06088 Assisi PG</v>
      </c>
      <c r="P257" t="str">
        <f>"ZF6186502F: [33.00€ ]"</f>
        <v>ZF6186502F: [33.00€ ]</v>
      </c>
      <c r="Q257" t="str">
        <f>""</f>
        <v/>
      </c>
      <c r="R257" t="str">
        <f>""</f>
        <v/>
      </c>
      <c r="S257" t="str">
        <f>""</f>
        <v/>
      </c>
      <c r="T257" t="str">
        <f>"https://portaletrasparenza.consorziobacchiglione.it/dettagli/attodigara/136/revisione-guanti-elettrici-per-cabina-m-t.html"</f>
        <v>https://portaletrasparenza.consorziobacchiglione.it/dettagli/attodigara/136/revisione-guanti-elettrici-per-cabina-m-t.html</v>
      </c>
      <c r="U257" t="str">
        <f>""</f>
        <v/>
      </c>
      <c r="V257">
        <f>(SUBSTITUTE(Tabella1[[#This Row],[Importo di aggiudicazione]],".",","))-(SUBSTITUTE(  SUBSTITUTE(          SUBSTITUTE(Tabella1[[#This Row],[Dettaglio somme liquidate]],Tabella1[[#This Row],[CIG]]&amp;": [",""),"€ ]",""),".",","))</f>
        <v>396</v>
      </c>
    </row>
    <row r="258" spans="1:22" x14ac:dyDescent="0.3">
      <c r="A258" t="str">
        <f>"Affidamento"</f>
        <v>Affidamento</v>
      </c>
      <c r="B258" t="str">
        <f>"Fornitura kit sfilo 12 MT per mezzo targato: AKB005"</f>
        <v>Fornitura kit sfilo 12 MT per mezzo targato: AKB005</v>
      </c>
      <c r="C258" t="str">
        <f>"ZD830869FA"</f>
        <v>ZD830869FA</v>
      </c>
      <c r="D258" t="str">
        <f>"08/02/2021"</f>
        <v>08/02/2021</v>
      </c>
      <c r="E258" t="str">
        <f>""</f>
        <v/>
      </c>
      <c r="F258" t="str">
        <f>""</f>
        <v/>
      </c>
      <c r="G258" t="str">
        <f>"1785.24"</f>
        <v>1785.24</v>
      </c>
      <c r="H258" t="str">
        <f>"Consorzio di bonifica Bacchiglione"</f>
        <v>Consorzio di bonifica Bacchiglione</v>
      </c>
      <c r="I258" t="str">
        <f>"92223390284"</f>
        <v>92223390284</v>
      </c>
      <c r="J258" t="str">
        <f>"23-AFFIDAMENTO DIRETTO"</f>
        <v>23-AFFIDAMENTO DIRETTO</v>
      </c>
      <c r="K258" t="str">
        <f>"05/02/2021"</f>
        <v>05/02/2021</v>
      </c>
      <c r="L258" t="str">
        <f>"26/02/2021"</f>
        <v>26/02/2021</v>
      </c>
      <c r="M258" t="str">
        <f>""</f>
        <v/>
      </c>
      <c r="N258" t="str">
        <f>"Energreen Via Pietre 73 36026 Cagnano di Pojana Maggiore VI"</f>
        <v>Energreen Via Pietre 73 36026 Cagnano di Pojana Maggiore VI</v>
      </c>
      <c r="O258" t="str">
        <f>"Energreen Via Pietre 73 36026 Cagnano di Pojana Maggiore VI"</f>
        <v>Energreen Via Pietre 73 36026 Cagnano di Pojana Maggiore VI</v>
      </c>
      <c r="P258" t="str">
        <f>"ZD830869FA: [1785.24€ ]"</f>
        <v>ZD830869FA: [1785.24€ ]</v>
      </c>
      <c r="Q258" t="str">
        <f>""</f>
        <v/>
      </c>
      <c r="R258" t="str">
        <f>""</f>
        <v/>
      </c>
      <c r="S258" t="str">
        <f>""</f>
        <v/>
      </c>
      <c r="T258" t="str">
        <f>"https://portaletrasparenza.consorziobacchiglione.it/dettagli/attodigara/6613/fornitura-kit-sfilo-12-mt-per-mezzo-targato-akb005.html"</f>
        <v>https://portaletrasparenza.consorziobacchiglione.it/dettagli/attodigara/6613/fornitura-kit-sfilo-12-mt-per-mezzo-targato-akb005.html</v>
      </c>
      <c r="U258" t="str">
        <f>"https://portaletrasparenza.consorziobacchiglione.it/download/attodigara/6613/63ac45581f695.PDF"</f>
        <v>https://portaletrasparenza.consorziobacchiglione.it/download/attodigara/6613/63ac45581f695.PDF</v>
      </c>
      <c r="V2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59" spans="1:22" x14ac:dyDescent="0.3">
      <c r="A259" t="str">
        <f>"Affidamento"</f>
        <v>Affidamento</v>
      </c>
      <c r="B259" t="str">
        <f>"Trasporto materiale derivante dall'espurgo dello scolo Demaniale Cariola da Via C.Pollini sino a Via dei Vescovi, in comune di Torreglia (PD)"</f>
        <v>Trasporto materiale derivante dall'espurgo dello scolo Demaniale Cariola da Via C.Pollini sino a Via dei Vescovi, in comune di Torreglia (PD)</v>
      </c>
      <c r="C259" t="str">
        <f>"Z863083967"</f>
        <v>Z863083967</v>
      </c>
      <c r="D259" t="str">
        <f>"16/02/2021"</f>
        <v>16/02/2021</v>
      </c>
      <c r="E259" t="str">
        <f>""</f>
        <v/>
      </c>
      <c r="F259" t="str">
        <f>""</f>
        <v/>
      </c>
      <c r="G259" t="str">
        <f>"3102.75"</f>
        <v>3102.75</v>
      </c>
      <c r="H259" t="str">
        <f>"Consorzio di bonifica Bacchiglione"</f>
        <v>Consorzio di bonifica Bacchiglione</v>
      </c>
      <c r="I259" t="str">
        <f>"92223390284"</f>
        <v>92223390284</v>
      </c>
      <c r="J259" t="str">
        <f>"23-AFFIDAMENTO DIRETTO"</f>
        <v>23-AFFIDAMENTO DIRETTO</v>
      </c>
      <c r="K259" t="str">
        <f>"05/02/2021"</f>
        <v>05/02/2021</v>
      </c>
      <c r="L259" t="str">
        <f>"08/04/2021"</f>
        <v>08/04/2021</v>
      </c>
      <c r="M259" t="str">
        <f>""</f>
        <v/>
      </c>
      <c r="N259" t="str">
        <f>"Agricola Ferro s.n.c. di Ferro Gianni E C. Via Centoni 63 35010 Fratte di S.Giustina in Colle PD"</f>
        <v>Agricola Ferro s.n.c. di Ferro Gianni E C. Via Centoni 63 35010 Fratte di S.Giustina in Colle PD</v>
      </c>
      <c r="O259" t="str">
        <f>"Agricola Ferro s.n.c. di Ferro Gianni E C. Via Centoni 63 35010 Fratte di S.Giustina in Colle PD"</f>
        <v>Agricola Ferro s.n.c. di Ferro Gianni E C. Via Centoni 63 35010 Fratte di S.Giustina in Colle PD</v>
      </c>
      <c r="P259" t="str">
        <f>"Z863083967: [3102.74€ ]"</f>
        <v>Z863083967: [3102.74€ ]</v>
      </c>
      <c r="Q259" t="str">
        <f>""</f>
        <v/>
      </c>
      <c r="R259" t="str">
        <f>""</f>
        <v/>
      </c>
      <c r="S259" t="str">
        <f>""</f>
        <v/>
      </c>
      <c r="T259" t="str">
        <f>"https://portaletrasparenza.consorziobacchiglione.it/dettagli/attodigara/6612/trasporto-materiale-derivante-dall-espurgo-dello-scolo-demaniale-cariola-da-via-c-pollini-sino-a-via-dei-vescovi-in-comune-di-torreglia-pd.html"</f>
        <v>https://portaletrasparenza.consorziobacchiglione.it/dettagli/attodigara/6612/trasporto-materiale-derivante-dall-espurgo-dello-scolo-demaniale-cariola-da-via-c-pollini-sino-a-via-dei-vescovi-in-comune-di-torreglia-pd.html</v>
      </c>
      <c r="U259" t="str">
        <f>"https://portaletrasparenza.consorziobacchiglione.it/download/attodigara/6612/63ac455b5b4f7.PDF"</f>
        <v>https://portaletrasparenza.consorziobacchiglione.it/download/attodigara/6612/63ac455b5b4f7.PDF</v>
      </c>
      <c r="V259">
        <f>(SUBSTITUTE(Tabella1[[#This Row],[Importo di aggiudicazione]],".",","))-(SUBSTITUTE(  SUBSTITUTE(          SUBSTITUTE(Tabella1[[#This Row],[Dettaglio somme liquidate]],Tabella1[[#This Row],[CIG]]&amp;": [",""),"€ ]",""),".",","))</f>
        <v>1.0000000000218279E-2</v>
      </c>
    </row>
    <row r="260" spans="1:22" x14ac:dyDescent="0.3">
      <c r="A260" t="str">
        <f>"Affidamento"</f>
        <v>Affidamento</v>
      </c>
      <c r="B260" t="str">
        <f>"Impianto antifurto presso idrovora Scolmatore Limenella Fossetta - Processo ID 006-03."</f>
        <v>Impianto antifurto presso idrovora Scolmatore Limenella Fossetta - Processo ID 006-03.</v>
      </c>
      <c r="C260" t="str">
        <f>"Z1418D920C"</f>
        <v>Z1418D920C</v>
      </c>
      <c r="D260" t="str">
        <f>"04/11/2021"</f>
        <v>04/11/2021</v>
      </c>
      <c r="E260" t="str">
        <f>""</f>
        <v/>
      </c>
      <c r="F260" t="str">
        <f>""</f>
        <v/>
      </c>
      <c r="G260" t="str">
        <f>"2415.00"</f>
        <v>2415.00</v>
      </c>
      <c r="H260" t="str">
        <f>"Consorzio di bonifica Bacchiglione"</f>
        <v>Consorzio di bonifica Bacchiglione</v>
      </c>
      <c r="I260" t="str">
        <f>"92223390284"</f>
        <v>92223390284</v>
      </c>
      <c r="J260" t="str">
        <f>"23-AFFIDAMENTO DIRETTO"</f>
        <v>23-AFFIDAMENTO DIRETTO</v>
      </c>
      <c r="K260" t="str">
        <f>"05/03/2021"</f>
        <v>05/03/2021</v>
      </c>
      <c r="L260" t="str">
        <f>"29/03/2021"</f>
        <v>29/03/2021</v>
      </c>
      <c r="M260" t="str">
        <f>""</f>
        <v/>
      </c>
      <c r="N260" t="str">
        <f>"DG Electronics"</f>
        <v>DG Electronics</v>
      </c>
      <c r="O260" t="str">
        <f>"DG Electronics"</f>
        <v>DG Electronics</v>
      </c>
      <c r="P260" t="str">
        <f>"Z1418D920C: [2415.00€ ]"</f>
        <v>Z1418D920C: [2415.00€ ]</v>
      </c>
      <c r="Q260" t="str">
        <f>""</f>
        <v/>
      </c>
      <c r="R260" t="str">
        <f>""</f>
        <v/>
      </c>
      <c r="S260" t="str">
        <f>""</f>
        <v/>
      </c>
      <c r="T260" t="str">
        <f>"https://portaletrasparenza.consorziobacchiglione.it/dettagli/attodigara/200/impianto-antifurto-presso-idrovora-scolmatore-limenella-fossetta-processo-id-006-03.html"</f>
        <v>https://portaletrasparenza.consorziobacchiglione.it/dettagli/attodigara/200/impianto-antifurto-presso-idrovora-scolmatore-limenella-fossetta-processo-id-006-03.html</v>
      </c>
      <c r="U260" t="str">
        <f>""</f>
        <v/>
      </c>
      <c r="V2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61" spans="1:22" x14ac:dyDescent="0.3">
      <c r="A261" t="str">
        <f>"Affidamento"</f>
        <v>Affidamento</v>
      </c>
      <c r="B261" t="str">
        <f>"Fornitura sponda posteriore per mezzo con targa. EP107XC."</f>
        <v>Fornitura sponda posteriore per mezzo con targa. EP107XC.</v>
      </c>
      <c r="C261" t="str">
        <f>"Z641946055"</f>
        <v>Z641946055</v>
      </c>
      <c r="D261" t="str">
        <f>"04/11/2021"</f>
        <v>04/11/2021</v>
      </c>
      <c r="E261" t="str">
        <f>""</f>
        <v/>
      </c>
      <c r="F261" t="str">
        <f>""</f>
        <v/>
      </c>
      <c r="G261" t="str">
        <f>"248.00"</f>
        <v>248.00</v>
      </c>
      <c r="H261" t="str">
        <f>"Consorzio di bonifica Bacchiglione"</f>
        <v>Consorzio di bonifica Bacchiglione</v>
      </c>
      <c r="I261" t="str">
        <f>"92223390284"</f>
        <v>92223390284</v>
      </c>
      <c r="J261" t="str">
        <f>"23-AFFIDAMENTO DIRETTO"</f>
        <v>23-AFFIDAMENTO DIRETTO</v>
      </c>
      <c r="K261" t="str">
        <f>"05/04/2021"</f>
        <v>05/04/2021</v>
      </c>
      <c r="L261" t="str">
        <f>"09/06/2021"</f>
        <v>09/06/2021</v>
      </c>
      <c r="M261" t="str">
        <f>""</f>
        <v/>
      </c>
      <c r="N261" t="str">
        <f>"Moressa s.r.l. Via Cuccara 2 35020 Due Carrare PD"</f>
        <v>Moressa s.r.l. Via Cuccara 2 35020 Due Carrare PD</v>
      </c>
      <c r="O261" t="str">
        <f>"Moressa s.r.l. Via Cuccara 2 35020 Due Carrare PD"</f>
        <v>Moressa s.r.l. Via Cuccara 2 35020 Due Carrare PD</v>
      </c>
      <c r="P261" t="str">
        <f>"Z641946055: [248.00€ ]"</f>
        <v>Z641946055: [248.00€ ]</v>
      </c>
      <c r="Q261" t="str">
        <f>""</f>
        <v/>
      </c>
      <c r="R261" t="str">
        <f>""</f>
        <v/>
      </c>
      <c r="S261" t="str">
        <f>""</f>
        <v/>
      </c>
      <c r="T261" t="str">
        <f>"https://portaletrasparenza.consorziobacchiglione.it/dettagli/attodigara/298/fornitura-sponda-posteriore-per-mezzo-con-targa-ep107xc.html"</f>
        <v>https://portaletrasparenza.consorziobacchiglione.it/dettagli/attodigara/298/fornitura-sponda-posteriore-per-mezzo-con-targa-ep107xc.html</v>
      </c>
      <c r="U261" t="str">
        <f>""</f>
        <v/>
      </c>
      <c r="V26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62" spans="1:22" x14ac:dyDescent="0.3">
      <c r="A262" t="str">
        <f>"Affidamento"</f>
        <v>Affidamento</v>
      </c>
      <c r="B262" t="str">
        <f>"Sistemazione serramenti in legno su Idrovora S.Margherita, Vaso Cavaizze, Bovolenta."</f>
        <v>Sistemazione serramenti in legno su Idrovora S.Margherita, Vaso Cavaizze, Bovolenta.</v>
      </c>
      <c r="C262" t="str">
        <f>"ZF21945886"</f>
        <v>ZF21945886</v>
      </c>
      <c r="D262" t="str">
        <f>"04/11/2021"</f>
        <v>04/11/2021</v>
      </c>
      <c r="E262" t="str">
        <f>""</f>
        <v/>
      </c>
      <c r="F262" t="str">
        <f>""</f>
        <v/>
      </c>
      <c r="G262" t="str">
        <f>"4640.00"</f>
        <v>4640.00</v>
      </c>
      <c r="H262" t="str">
        <f>"Consorzio di bonifica Bacchiglione"</f>
        <v>Consorzio di bonifica Bacchiglione</v>
      </c>
      <c r="I262" t="str">
        <f>"92223390284"</f>
        <v>92223390284</v>
      </c>
      <c r="J262" t="str">
        <f>"23-AFFIDAMENTO DIRETTO"</f>
        <v>23-AFFIDAMENTO DIRETTO</v>
      </c>
      <c r="K262" t="str">
        <f>"05/04/2021"</f>
        <v>05/04/2021</v>
      </c>
      <c r="L262" t="str">
        <f>"27/10/2021"</f>
        <v>27/10/2021</v>
      </c>
      <c r="M262" t="str">
        <f>""</f>
        <v/>
      </c>
      <c r="N262" t="str">
        <f>"Ruzzon Maurizio Via Vittorio Emanuele III 101 35020 Codevigo PD"</f>
        <v>Ruzzon Maurizio Via Vittorio Emanuele III 101 35020 Codevigo PD</v>
      </c>
      <c r="O262" t="str">
        <f>"Ruzzon Maurizio Via Vittorio Emanuele III 101 35020 Codevigo PD"</f>
        <v>Ruzzon Maurizio Via Vittorio Emanuele III 101 35020 Codevigo PD</v>
      </c>
      <c r="P262" t="str">
        <f>"ZF21945886: [4640.00€ ]"</f>
        <v>ZF21945886: [4640.00€ ]</v>
      </c>
      <c r="Q262" t="str">
        <f>""</f>
        <v/>
      </c>
      <c r="R262" t="str">
        <f>""</f>
        <v/>
      </c>
      <c r="S262" t="str">
        <f>""</f>
        <v/>
      </c>
      <c r="T262" t="str">
        <f>"https://portaletrasparenza.consorziobacchiglione.it/dettagli/attodigara/297/sistemazione-serramenti-in-legno-su-idrovora-s-margherita-vaso-cavaizze-bovolenta.html"</f>
        <v>https://portaletrasparenza.consorziobacchiglione.it/dettagli/attodigara/297/sistemazione-serramenti-in-legno-su-idrovora-s-margherita-vaso-cavaizze-bovolenta.html</v>
      </c>
      <c r="U262" t="str">
        <f>""</f>
        <v/>
      </c>
      <c r="V26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63" spans="1:22" x14ac:dyDescent="0.3">
      <c r="A263" t="str">
        <f>"Affidamento"</f>
        <v>Affidamento</v>
      </c>
      <c r="B263" t="str">
        <f>"Fornitura spazzole tergi per mezzo con targa: PDB49360"</f>
        <v>Fornitura spazzole tergi per mezzo con targa: PDB49360</v>
      </c>
      <c r="C263" t="str">
        <f>"Z83194570A"</f>
        <v>Z83194570A</v>
      </c>
      <c r="D263" t="str">
        <f>"04/11/2021"</f>
        <v>04/11/2021</v>
      </c>
      <c r="E263" t="str">
        <f>""</f>
        <v/>
      </c>
      <c r="F263" t="str">
        <f>""</f>
        <v/>
      </c>
      <c r="G263" t="str">
        <f>"57.00"</f>
        <v>57.00</v>
      </c>
      <c r="H263" t="str">
        <f>"Consorzio di bonifica Bacchiglione"</f>
        <v>Consorzio di bonifica Bacchiglione</v>
      </c>
      <c r="I263" t="str">
        <f>"92223390284"</f>
        <v>92223390284</v>
      </c>
      <c r="J263" t="str">
        <f>"23-AFFIDAMENTO DIRETTO"</f>
        <v>23-AFFIDAMENTO DIRETTO</v>
      </c>
      <c r="K263" t="str">
        <f>"05/04/2021"</f>
        <v>05/04/2021</v>
      </c>
      <c r="L263" t="str">
        <f>"18/04/2021"</f>
        <v>18/04/2021</v>
      </c>
      <c r="M263" t="str">
        <f>""</f>
        <v/>
      </c>
      <c r="N263" t="str">
        <f>"Autoricambi s.n.c. di Mardegan Paolo e Manfron Veronica Via A.Valerio 26-28 Piove di Sacco PD"</f>
        <v>Autoricambi s.n.c. di Mardegan Paolo e Manfron Veronica Via A.Valerio 26-28 Piove di Sacco PD</v>
      </c>
      <c r="O263" t="str">
        <f>"Autoricambi s.n.c. di Mardegan Paolo e Manfron Veronica Via A.Valerio 26-28 Piove di Sacco PD"</f>
        <v>Autoricambi s.n.c. di Mardegan Paolo e Manfron Veronica Via A.Valerio 26-28 Piove di Sacco PD</v>
      </c>
      <c r="P263" t="str">
        <f>"Z83194570A: [57.00€ ]"</f>
        <v>Z83194570A: [57.00€ ]</v>
      </c>
      <c r="Q263" t="str">
        <f>""</f>
        <v/>
      </c>
      <c r="R263" t="str">
        <f>""</f>
        <v/>
      </c>
      <c r="S263" t="str">
        <f>""</f>
        <v/>
      </c>
      <c r="T263" t="str">
        <f>"https://portaletrasparenza.consorziobacchiglione.it/dettagli/attodigara/296/fornitura-spazzole-tergi-per-mezzo-con-targa-pdb49360.html"</f>
        <v>https://portaletrasparenza.consorziobacchiglione.it/dettagli/attodigara/296/fornitura-spazzole-tergi-per-mezzo-con-targa-pdb49360.html</v>
      </c>
      <c r="U263" t="str">
        <f>""</f>
        <v/>
      </c>
      <c r="V2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64" spans="1:22" x14ac:dyDescent="0.3">
      <c r="A264" t="str">
        <f>"Affidamento"</f>
        <v>Affidamento</v>
      </c>
      <c r="B264" t="str">
        <f>"Fornitura sasso per scolo Bottesina e Bolzani."</f>
        <v>Fornitura sasso per scolo Bottesina e Bolzani.</v>
      </c>
      <c r="C264" t="str">
        <f>"ZB2194520F"</f>
        <v>ZB2194520F</v>
      </c>
      <c r="D264" t="str">
        <f>"04/11/2021"</f>
        <v>04/11/2021</v>
      </c>
      <c r="E264" t="str">
        <f>""</f>
        <v/>
      </c>
      <c r="F264" t="str">
        <f>""</f>
        <v/>
      </c>
      <c r="G264" t="str">
        <f>"14260.00"</f>
        <v>14260.00</v>
      </c>
      <c r="H264" t="str">
        <f>"Consorzio di bonifica Bacchiglione"</f>
        <v>Consorzio di bonifica Bacchiglione</v>
      </c>
      <c r="I264" t="str">
        <f>"92223390284"</f>
        <v>92223390284</v>
      </c>
      <c r="J264" t="str">
        <f>"23-AFFIDAMENTO DIRETTO"</f>
        <v>23-AFFIDAMENTO DIRETTO</v>
      </c>
      <c r="K264" t="str">
        <f>"05/04/2021"</f>
        <v>05/04/2021</v>
      </c>
      <c r="L264" t="str">
        <f>"03/05/2021"</f>
        <v>03/05/2021</v>
      </c>
      <c r="M264" t="str">
        <f>""</f>
        <v/>
      </c>
      <c r="N264" t="str">
        <f>"Martini Luciano s.r.l. Via Bagnara Alta 1172 35030 VO PD"</f>
        <v>Martini Luciano s.r.l. Via Bagnara Alta 1172 35030 VO PD</v>
      </c>
      <c r="O264" t="str">
        <f>"Martini Luciano s.r.l. Via Bagnara Alta 1172 35030 VO PD"</f>
        <v>Martini Luciano s.r.l. Via Bagnara Alta 1172 35030 VO PD</v>
      </c>
      <c r="P264" t="str">
        <f>"ZB2194520F: [14260.00€ ]"</f>
        <v>ZB2194520F: [14260.00€ ]</v>
      </c>
      <c r="Q264" t="str">
        <f>""</f>
        <v/>
      </c>
      <c r="R264" t="str">
        <f>""</f>
        <v/>
      </c>
      <c r="S264" t="str">
        <f>""</f>
        <v/>
      </c>
      <c r="T264" t="str">
        <f>"https://portaletrasparenza.consorziobacchiglione.it/dettagli/attodigara/295/fornitura-sasso-per-scolo-bottesina-e-bolzani.html"</f>
        <v>https://portaletrasparenza.consorziobacchiglione.it/dettagli/attodigara/295/fornitura-sasso-per-scolo-bottesina-e-bolzani.html</v>
      </c>
      <c r="U264" t="str">
        <f>""</f>
        <v/>
      </c>
      <c r="V2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65" spans="1:22" x14ac:dyDescent="0.3">
      <c r="A265" t="str">
        <f>"Affidamento"</f>
        <v>Affidamento</v>
      </c>
      <c r="B265" t="str">
        <f>"Manutenzione e riparazione, installazione orologio settimanale per dare segnale di avviamento e arresto per prova test settimanale G.E. Idrovora di Lova, Maestro, Bernio, S.Margherita."</f>
        <v>Manutenzione e riparazione, installazione orologio settimanale per dare segnale di avviamento e arresto per prova test settimanale G.E. Idrovora di Lova, Maestro, Bernio, S.Margherita.</v>
      </c>
      <c r="C265" t="str">
        <f>"ZB31945545"</f>
        <v>ZB31945545</v>
      </c>
      <c r="D265" t="str">
        <f>"04/11/2021"</f>
        <v>04/11/2021</v>
      </c>
      <c r="E265" t="str">
        <f>""</f>
        <v/>
      </c>
      <c r="F265" t="str">
        <f>""</f>
        <v/>
      </c>
      <c r="G265" t="str">
        <f>"3023.39"</f>
        <v>3023.39</v>
      </c>
      <c r="H265" t="str">
        <f>"Consorzio di bonifica Bacchiglione"</f>
        <v>Consorzio di bonifica Bacchiglione</v>
      </c>
      <c r="I265" t="str">
        <f>"92223390284"</f>
        <v>92223390284</v>
      </c>
      <c r="J265" t="str">
        <f>"23-AFFIDAMENTO DIRETTO"</f>
        <v>23-AFFIDAMENTO DIRETTO</v>
      </c>
      <c r="K265" t="str">
        <f>"05/04/2021"</f>
        <v>05/04/2021</v>
      </c>
      <c r="L265" t="str">
        <f>"27/07/2021"</f>
        <v>27/07/2021</v>
      </c>
      <c r="M265" t="str">
        <f>""</f>
        <v/>
      </c>
      <c r="N265" t="str">
        <f>"TREE S.R.L. Via Rino Collodel 3 31020 San Pietro di Feletto TV"</f>
        <v>TREE S.R.L. Via Rino Collodel 3 31020 San Pietro di Feletto TV</v>
      </c>
      <c r="O265" t="str">
        <f>"TREE S.R.L. Via Rino Collodel 3 31020 San Pietro di Feletto TV"</f>
        <v>TREE S.R.L. Via Rino Collodel 3 31020 San Pietro di Feletto TV</v>
      </c>
      <c r="P265" t="str">
        <f>"ZB31945545: [3023.39€ ]"</f>
        <v>ZB31945545: [3023.39€ ]</v>
      </c>
      <c r="Q265" t="str">
        <f>""</f>
        <v/>
      </c>
      <c r="R265" t="str">
        <f>""</f>
        <v/>
      </c>
      <c r="S265" t="str">
        <f>""</f>
        <v/>
      </c>
      <c r="T265" t="s">
        <v>52</v>
      </c>
      <c r="U265" t="str">
        <f>""</f>
        <v/>
      </c>
      <c r="V2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66" spans="1:22" x14ac:dyDescent="0.3">
      <c r="A266" t="str">
        <f>"Affidamento"</f>
        <v>Affidamento</v>
      </c>
      <c r="B266" t="str">
        <f>"Assistenza al sommozzatore per eventuale modifica rettangoli di lamiera in acciaio Sostegno Montalbano."</f>
        <v>Assistenza al sommozzatore per eventuale modifica rettangoli di lamiera in acciaio Sostegno Montalbano.</v>
      </c>
      <c r="C266" t="str">
        <f>"Z271944616"</f>
        <v>Z271944616</v>
      </c>
      <c r="D266" t="str">
        <f>"04/11/2021"</f>
        <v>04/11/2021</v>
      </c>
      <c r="E266" t="str">
        <f>""</f>
        <v/>
      </c>
      <c r="F266" t="str">
        <f>""</f>
        <v/>
      </c>
      <c r="G266" t="str">
        <f>"2200.00"</f>
        <v>2200.00</v>
      </c>
      <c r="H266" t="str">
        <f>"Consorzio di bonifica Bacchiglione"</f>
        <v>Consorzio di bonifica Bacchiglione</v>
      </c>
      <c r="I266" t="str">
        <f>"92223390284"</f>
        <v>92223390284</v>
      </c>
      <c r="J266" t="str">
        <f>"23-AFFIDAMENTO DIRETTO"</f>
        <v>23-AFFIDAMENTO DIRETTO</v>
      </c>
      <c r="K266" t="str">
        <f>"05/04/2021"</f>
        <v>05/04/2021</v>
      </c>
      <c r="L266" t="str">
        <f>"11/08/2021"</f>
        <v>11/08/2021</v>
      </c>
      <c r="M266" t="str">
        <f>""</f>
        <v/>
      </c>
      <c r="N266" t="str">
        <f>"RT SRL Via dell'Artigianato 11 44027 Fiscaglia loc. Migliaro FE"</f>
        <v>RT SRL Via dell'Artigianato 11 44027 Fiscaglia loc. Migliaro FE</v>
      </c>
      <c r="O266" t="str">
        <f>"RT SRL Via dell'Artigianato 11 44027 Fiscaglia loc. Migliaro FE"</f>
        <v>RT SRL Via dell'Artigianato 11 44027 Fiscaglia loc. Migliaro FE</v>
      </c>
      <c r="P266" t="str">
        <f>"Z271944616: [2200.00€ ]"</f>
        <v>Z271944616: [2200.00€ ]</v>
      </c>
      <c r="Q266" t="str">
        <f>""</f>
        <v/>
      </c>
      <c r="R266" t="str">
        <f>""</f>
        <v/>
      </c>
      <c r="S266" t="str">
        <f>""</f>
        <v/>
      </c>
      <c r="T266" t="str">
        <f>"https://portaletrasparenza.consorziobacchiglione.it/dettagli/attodigara/293/assistenza-al-sommozzatore-per-eventuale-modifica-rettangoli-di-lamiera-in-acciaio-sostegno-montalbano.html"</f>
        <v>https://portaletrasparenza.consorziobacchiglione.it/dettagli/attodigara/293/assistenza-al-sommozzatore-per-eventuale-modifica-rettangoli-di-lamiera-in-acciaio-sostegno-montalbano.html</v>
      </c>
      <c r="U266" t="str">
        <f>""</f>
        <v/>
      </c>
      <c r="V26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67" spans="1:22" x14ac:dyDescent="0.3">
      <c r="A267" t="str">
        <f>"Affidamento"</f>
        <v>Affidamento</v>
      </c>
      <c r="B267" t="str">
        <f>"Realizzazione pompeiana presso C.O.Bovolenta."</f>
        <v>Realizzazione pompeiana presso C.O.Bovolenta.</v>
      </c>
      <c r="C267" t="str">
        <f>"Z331947D49"</f>
        <v>Z331947D49</v>
      </c>
      <c r="D267" t="str">
        <f>"04/11/2021"</f>
        <v>04/11/2021</v>
      </c>
      <c r="E267" t="str">
        <f>""</f>
        <v/>
      </c>
      <c r="F267" t="str">
        <f>""</f>
        <v/>
      </c>
      <c r="G267" t="str">
        <f>"19850.00"</f>
        <v>19850.00</v>
      </c>
      <c r="H267" t="str">
        <f>"Consorzio di bonifica Bacchiglione"</f>
        <v>Consorzio di bonifica Bacchiglione</v>
      </c>
      <c r="I267" t="str">
        <f>"92223390284"</f>
        <v>92223390284</v>
      </c>
      <c r="J267" t="str">
        <f>"23-AFFIDAMENTO DIRETTO"</f>
        <v>23-AFFIDAMENTO DIRETTO</v>
      </c>
      <c r="K267" t="str">
        <f>"05/04/2021"</f>
        <v>05/04/2021</v>
      </c>
      <c r="L267" t="str">
        <f>"31/12/2021"</f>
        <v>31/12/2021</v>
      </c>
      <c r="M267" t="str">
        <f>""</f>
        <v/>
      </c>
      <c r="N267" t="str">
        <f>"Idronord s.r.l. Via delle Industrie 3C 30036 Santa Maria Di Sala VE"</f>
        <v>Idronord s.r.l. Via delle Industrie 3C 30036 Santa Maria Di Sala VE</v>
      </c>
      <c r="O267" t="str">
        <f>"Idronord s.r.l. Via delle Industrie 3C 30036 Santa Maria Di Sala VE"</f>
        <v>Idronord s.r.l. Via delle Industrie 3C 30036 Santa Maria Di Sala VE</v>
      </c>
      <c r="P267" t="str">
        <f>"Z331947D49: [0.00€ ]"</f>
        <v>Z331947D49: [0.00€ ]</v>
      </c>
      <c r="Q267" t="str">
        <f>""</f>
        <v/>
      </c>
      <c r="R267" t="str">
        <f>""</f>
        <v/>
      </c>
      <c r="S267" t="str">
        <f>""</f>
        <v/>
      </c>
      <c r="T267" t="str">
        <f>"https://portaletrasparenza.consorziobacchiglione.it/dettagli/attodigara/299/realizzazione-pompeiana-presso-c-o-bovolenta.html"</f>
        <v>https://portaletrasparenza.consorziobacchiglione.it/dettagli/attodigara/299/realizzazione-pompeiana-presso-c-o-bovolenta.html</v>
      </c>
      <c r="U267" t="str">
        <f>""</f>
        <v/>
      </c>
      <c r="V267">
        <f>(SUBSTITUTE(Tabella1[[#This Row],[Importo di aggiudicazione]],".",","))-(SUBSTITUTE(  SUBSTITUTE(          SUBSTITUTE(Tabella1[[#This Row],[Dettaglio somme liquidate]],Tabella1[[#This Row],[CIG]]&amp;": [",""),"€ ]",""),".",","))</f>
        <v>19850</v>
      </c>
    </row>
    <row r="268" spans="1:22" x14ac:dyDescent="0.3">
      <c r="A268" t="str">
        <f>"Affidamento"</f>
        <v>Affidamento</v>
      </c>
      <c r="B268" t="str">
        <f>"Pulizia vasca biologica sede Consorziale."</f>
        <v>Pulizia vasca biologica sede Consorziale.</v>
      </c>
      <c r="C268" t="str">
        <f>"Z7619BE2FB"</f>
        <v>Z7619BE2FB</v>
      </c>
      <c r="D268" t="str">
        <f>"04/11/2021"</f>
        <v>04/11/2021</v>
      </c>
      <c r="E268" t="str">
        <f>""</f>
        <v/>
      </c>
      <c r="F268" t="str">
        <f>""</f>
        <v/>
      </c>
      <c r="G268" t="str">
        <f>"200.00"</f>
        <v>200.00</v>
      </c>
      <c r="H268" t="str">
        <f>"Consorzio di bonifica Bacchiglione"</f>
        <v>Consorzio di bonifica Bacchiglione</v>
      </c>
      <c r="I268" t="str">
        <f>"92223390284"</f>
        <v>92223390284</v>
      </c>
      <c r="J268" t="str">
        <f>"23-AFFIDAMENTO DIRETTO"</f>
        <v>23-AFFIDAMENTO DIRETTO</v>
      </c>
      <c r="K268" t="str">
        <f>"05/05/2021"</f>
        <v>05/05/2021</v>
      </c>
      <c r="L268" t="str">
        <f>"15/06/2021"</f>
        <v>15/06/2021</v>
      </c>
      <c r="M268" t="str">
        <f>""</f>
        <v/>
      </c>
      <c r="N268" t="str">
        <f>"Mietto Gaetano Espurghi s.r.l. Via Vigonovese 88 35020 Saonara PD"</f>
        <v>Mietto Gaetano Espurghi s.r.l. Via Vigonovese 88 35020 Saonara PD</v>
      </c>
      <c r="O268" t="str">
        <f>"Mietto Gaetano Espurghi s.r.l. Via Vigonovese 88 35020 Saonara PD"</f>
        <v>Mietto Gaetano Espurghi s.r.l. Via Vigonovese 88 35020 Saonara PD</v>
      </c>
      <c r="P268" t="str">
        <f>"Z7619BE2FB: [200.00€ ]"</f>
        <v>Z7619BE2FB: [200.00€ ]</v>
      </c>
      <c r="Q268" t="str">
        <f>""</f>
        <v/>
      </c>
      <c r="R268" t="str">
        <f>""</f>
        <v/>
      </c>
      <c r="S268" t="str">
        <f>""</f>
        <v/>
      </c>
      <c r="T268" t="str">
        <f>"https://portaletrasparenza.consorziobacchiglione.it/dettagli/attodigara/394/pulizia-vasca-biologica-sede-consorziale.html"</f>
        <v>https://portaletrasparenza.consorziobacchiglione.it/dettagli/attodigara/394/pulizia-vasca-biologica-sede-consorziale.html</v>
      </c>
      <c r="U268" t="str">
        <f>""</f>
        <v/>
      </c>
      <c r="V2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69" spans="1:22" x14ac:dyDescent="0.3">
      <c r="A269" t="str">
        <f>"Affidamento"</f>
        <v>Affidamento</v>
      </c>
      <c r="B269" t="str">
        <f>"Fornitura calcestruzzo per scolo Bolzani."</f>
        <v>Fornitura calcestruzzo per scolo Bolzani.</v>
      </c>
      <c r="C269" t="str">
        <f>"Z7019BDD71"</f>
        <v>Z7019BDD71</v>
      </c>
      <c r="D269" t="str">
        <f>"04/11/2021"</f>
        <v>04/11/2021</v>
      </c>
      <c r="E269" t="str">
        <f>""</f>
        <v/>
      </c>
      <c r="F269" t="str">
        <f>""</f>
        <v/>
      </c>
      <c r="G269" t="str">
        <f>"372.40"</f>
        <v>372.40</v>
      </c>
      <c r="H269" t="str">
        <f>"Consorzio di bonifica Bacchiglione"</f>
        <v>Consorzio di bonifica Bacchiglione</v>
      </c>
      <c r="I269" t="str">
        <f>"92223390284"</f>
        <v>92223390284</v>
      </c>
      <c r="J269" t="str">
        <f>"23-AFFIDAMENTO DIRETTO"</f>
        <v>23-AFFIDAMENTO DIRETTO</v>
      </c>
      <c r="K269" t="str">
        <f>"05/05/2021"</f>
        <v>05/05/2021</v>
      </c>
      <c r="L269" t="str">
        <f>"30/06/2021"</f>
        <v>30/06/2021</v>
      </c>
      <c r="M269" t="str">
        <f>""</f>
        <v/>
      </c>
      <c r="N269" t="str">
        <f>"Calcestruzzi Donà s.r.l. Via Fossalta 2 35025 Cartura PD"</f>
        <v>Calcestruzzi Donà s.r.l. Via Fossalta 2 35025 Cartura PD</v>
      </c>
      <c r="O269" t="str">
        <f>"Calcestruzzi Donà s.r.l. Via Fossalta 2 35025 Cartura PD"</f>
        <v>Calcestruzzi Donà s.r.l. Via Fossalta 2 35025 Cartura PD</v>
      </c>
      <c r="P269" t="str">
        <f>"Z7019BDD71: [372.40€ ]"</f>
        <v>Z7019BDD71: [372.40€ ]</v>
      </c>
      <c r="Q269" t="str">
        <f>""</f>
        <v/>
      </c>
      <c r="R269" t="str">
        <f>""</f>
        <v/>
      </c>
      <c r="S269" t="str">
        <f>""</f>
        <v/>
      </c>
      <c r="T269" t="str">
        <f>"https://portaletrasparenza.consorziobacchiglione.it/dettagli/attodigara/393/fornitura-calcestruzzo-per-scolo-bolzani.html"</f>
        <v>https://portaletrasparenza.consorziobacchiglione.it/dettagli/attodigara/393/fornitura-calcestruzzo-per-scolo-bolzani.html</v>
      </c>
      <c r="U269" t="str">
        <f>""</f>
        <v/>
      </c>
      <c r="V26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70" spans="1:22" x14ac:dyDescent="0.3">
      <c r="A270" t="str">
        <f>"Affidamento"</f>
        <v>Affidamento</v>
      </c>
      <c r="B270" t="str">
        <f>"Fornitura e posa nuovo cavo FTP per rete Modbus Inverter pompa 3 Idrovora S.Margherita."</f>
        <v>Fornitura e posa nuovo cavo FTP per rete Modbus Inverter pompa 3 Idrovora S.Margherita.</v>
      </c>
      <c r="C270" t="str">
        <f>"Z3519BDC3F"</f>
        <v>Z3519BDC3F</v>
      </c>
      <c r="D270" t="str">
        <f>"04/11/2021"</f>
        <v>04/11/2021</v>
      </c>
      <c r="E270" t="str">
        <f>""</f>
        <v/>
      </c>
      <c r="F270" t="str">
        <f>""</f>
        <v/>
      </c>
      <c r="G270" t="str">
        <f>"980.00"</f>
        <v>980.00</v>
      </c>
      <c r="H270" t="str">
        <f>"Consorzio di bonifica Bacchiglione"</f>
        <v>Consorzio di bonifica Bacchiglione</v>
      </c>
      <c r="I270" t="str">
        <f>"92223390284"</f>
        <v>92223390284</v>
      </c>
      <c r="J270" t="str">
        <f>"23-AFFIDAMENTO DIRETTO"</f>
        <v>23-AFFIDAMENTO DIRETTO</v>
      </c>
      <c r="K270" t="str">
        <f>"05/05/2021"</f>
        <v>05/05/2021</v>
      </c>
      <c r="L270" t="str">
        <f>"30/06/2021"</f>
        <v>30/06/2021</v>
      </c>
      <c r="M270" t="str">
        <f>""</f>
        <v/>
      </c>
      <c r="N270" t="str">
        <f>"A.S.P. Tecnologie srl Via Padre Nicolini 29 35013 Cittadella PD"</f>
        <v>A.S.P. Tecnologie srl Via Padre Nicolini 29 35013 Cittadella PD</v>
      </c>
      <c r="O270" t="str">
        <f>"A.S.P. Tecnologie srl Via Padre Nicolini 29 35013 Cittadella PD"</f>
        <v>A.S.P. Tecnologie srl Via Padre Nicolini 29 35013 Cittadella PD</v>
      </c>
      <c r="P270" t="str">
        <f>"Z3519BDC3F: [980.00€ ]"</f>
        <v>Z3519BDC3F: [980.00€ ]</v>
      </c>
      <c r="Q270" t="str">
        <f>""</f>
        <v/>
      </c>
      <c r="R270" t="str">
        <f>""</f>
        <v/>
      </c>
      <c r="S270" t="str">
        <f>""</f>
        <v/>
      </c>
      <c r="T270" t="str">
        <f>"https://portaletrasparenza.consorziobacchiglione.it/dettagli/attodigara/392/fornitura-e-posa-nuovo-cavo-ftp-per-rete-modbus-inverter-pompa-3-idrovora-s-margherita.html"</f>
        <v>https://portaletrasparenza.consorziobacchiglione.it/dettagli/attodigara/392/fornitura-e-posa-nuovo-cavo-ftp-per-rete-modbus-inverter-pompa-3-idrovora-s-margherita.html</v>
      </c>
      <c r="U270" t="str">
        <f>""</f>
        <v/>
      </c>
      <c r="V27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71" spans="1:22" x14ac:dyDescent="0.3">
      <c r="A271" t="str">
        <f>"Affidamento"</f>
        <v>Affidamento</v>
      </c>
      <c r="B271" t="str">
        <f>"Manutenzione e riparazione mezzo con targa: PDAF480."</f>
        <v>Manutenzione e riparazione mezzo con targa: PDAF480.</v>
      </c>
      <c r="C271" t="str">
        <f>"ZBE19BD7FE"</f>
        <v>ZBE19BD7FE</v>
      </c>
      <c r="D271" t="str">
        <f>"04/11/2021"</f>
        <v>04/11/2021</v>
      </c>
      <c r="E271" t="str">
        <f>""</f>
        <v/>
      </c>
      <c r="F271" t="str">
        <f>""</f>
        <v/>
      </c>
      <c r="G271" t="str">
        <f>"1619.00"</f>
        <v>1619.00</v>
      </c>
      <c r="H271" t="str">
        <f>"Consorzio di bonifica Bacchiglione"</f>
        <v>Consorzio di bonifica Bacchiglione</v>
      </c>
      <c r="I271" t="str">
        <f>"92223390284"</f>
        <v>92223390284</v>
      </c>
      <c r="J271" t="str">
        <f>"23-AFFIDAMENTO DIRETTO"</f>
        <v>23-AFFIDAMENTO DIRETTO</v>
      </c>
      <c r="K271" t="str">
        <f>"05/05/2021"</f>
        <v>05/05/2021</v>
      </c>
      <c r="L271" t="str">
        <f>"30/06/2021"</f>
        <v>30/06/2021</v>
      </c>
      <c r="M271" t="str">
        <f>""</f>
        <v/>
      </c>
      <c r="N271" t="str">
        <f>"Officina Biesse S.n.c. Via Matteotti 24 35020 Arzergrande PD"</f>
        <v>Officina Biesse S.n.c. Via Matteotti 24 35020 Arzergrande PD</v>
      </c>
      <c r="O271" t="str">
        <f>"Officina Biesse S.n.c. Via Matteotti 24 35020 Arzergrande PD"</f>
        <v>Officina Biesse S.n.c. Via Matteotti 24 35020 Arzergrande PD</v>
      </c>
      <c r="P271" t="str">
        <f>"ZBE19BD7FE: [1619.00€ ]"</f>
        <v>ZBE19BD7FE: [1619.00€ ]</v>
      </c>
      <c r="Q271" t="str">
        <f>""</f>
        <v/>
      </c>
      <c r="R271" t="str">
        <f>""</f>
        <v/>
      </c>
      <c r="S271" t="str">
        <f>""</f>
        <v/>
      </c>
      <c r="T271" t="str">
        <f>"https://portaletrasparenza.consorziobacchiglione.it/dettagli/attodigara/390/manutenzione-e-riparazione-mezzo-con-targa-pdaf480.html"</f>
        <v>https://portaletrasparenza.consorziobacchiglione.it/dettagli/attodigara/390/manutenzione-e-riparazione-mezzo-con-targa-pdaf480.html</v>
      </c>
      <c r="U271" t="str">
        <f>""</f>
        <v/>
      </c>
      <c r="V27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72" spans="1:22" x14ac:dyDescent="0.3">
      <c r="A272" t="str">
        <f>"Affidamento"</f>
        <v>Affidamento</v>
      </c>
      <c r="B272" t="str">
        <f>"Riparazione e manutenzione G.E. dell'Idrovora Baldon e manutenzione sgrigliatore dell'Idrovora Cà Nordio."</f>
        <v>Riparazione e manutenzione G.E. dell'Idrovora Baldon e manutenzione sgrigliatore dell'Idrovora Cà Nordio.</v>
      </c>
      <c r="C272" t="str">
        <f>"Z8A19BD6B9"</f>
        <v>Z8A19BD6B9</v>
      </c>
      <c r="D272" t="str">
        <f>"04/11/2021"</f>
        <v>04/11/2021</v>
      </c>
      <c r="E272" t="str">
        <f>""</f>
        <v/>
      </c>
      <c r="F272" t="str">
        <f>""</f>
        <v/>
      </c>
      <c r="G272" t="str">
        <f>"3700.00"</f>
        <v>3700.00</v>
      </c>
      <c r="H272" t="str">
        <f>"Consorzio di bonifica Bacchiglione"</f>
        <v>Consorzio di bonifica Bacchiglione</v>
      </c>
      <c r="I272" t="str">
        <f>"92223390284"</f>
        <v>92223390284</v>
      </c>
      <c r="J272" t="str">
        <f>"23-AFFIDAMENTO DIRETTO"</f>
        <v>23-AFFIDAMENTO DIRETTO</v>
      </c>
      <c r="K272" t="str">
        <f>"05/05/2021"</f>
        <v>05/05/2021</v>
      </c>
      <c r="L272" t="str">
        <f>"12/04/2021"</f>
        <v>12/04/2021</v>
      </c>
      <c r="M272" t="str">
        <f>""</f>
        <v/>
      </c>
      <c r="N272" t="str">
        <f>"Officina Biesse S.n.c. Via Matteotti 24 35020 Arzergrande PD"</f>
        <v>Officina Biesse S.n.c. Via Matteotti 24 35020 Arzergrande PD</v>
      </c>
      <c r="O272" t="str">
        <f>"Officina Biesse S.n.c. Via Matteotti 24 35020 Arzergrande PD"</f>
        <v>Officina Biesse S.n.c. Via Matteotti 24 35020 Arzergrande PD</v>
      </c>
      <c r="P272" t="str">
        <f>"Z8A19BD6B9: [3700.00€ ]"</f>
        <v>Z8A19BD6B9: [3700.00€ ]</v>
      </c>
      <c r="Q272" t="str">
        <f>""</f>
        <v/>
      </c>
      <c r="R272" t="str">
        <f>""</f>
        <v/>
      </c>
      <c r="S272" t="str">
        <f>""</f>
        <v/>
      </c>
      <c r="T272" t="str">
        <f>"https://portaletrasparenza.consorziobacchiglione.it/dettagli/attodigara/389/riparazione-e-manutenzione-g-e-dell-idrovora-baldon-e-manutenzione-sgrigliatore-dell-idrovora-ca-nordio.html"</f>
        <v>https://portaletrasparenza.consorziobacchiglione.it/dettagli/attodigara/389/riparazione-e-manutenzione-g-e-dell-idrovora-baldon-e-manutenzione-sgrigliatore-dell-idrovora-ca-nordio.html</v>
      </c>
      <c r="U272" t="str">
        <f>""</f>
        <v/>
      </c>
      <c r="V27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73" spans="1:22" x14ac:dyDescent="0.3">
      <c r="A273" t="str">
        <f>"Affidamento"</f>
        <v>Affidamento</v>
      </c>
      <c r="B273" t="str">
        <f>"Riparazione e manutenzione mezzo cingolato 904."</f>
        <v>Riparazione e manutenzione mezzo cingolato 904.</v>
      </c>
      <c r="C273" t="str">
        <f>"ZCD19BC190"</f>
        <v>ZCD19BC190</v>
      </c>
      <c r="D273" t="str">
        <f>"04/11/2021"</f>
        <v>04/11/2021</v>
      </c>
      <c r="E273" t="str">
        <f>""</f>
        <v/>
      </c>
      <c r="F273" t="str">
        <f>""</f>
        <v/>
      </c>
      <c r="G273" t="str">
        <f>"2880.85"</f>
        <v>2880.85</v>
      </c>
      <c r="H273" t="str">
        <f>"Consorzio di bonifica Bacchiglione"</f>
        <v>Consorzio di bonifica Bacchiglione</v>
      </c>
      <c r="I273" t="str">
        <f>"92223390284"</f>
        <v>92223390284</v>
      </c>
      <c r="J273" t="str">
        <f>"23-AFFIDAMENTO DIRETTO"</f>
        <v>23-AFFIDAMENTO DIRETTO</v>
      </c>
      <c r="K273" t="str">
        <f>"05/05/2021"</f>
        <v>05/05/2021</v>
      </c>
      <c r="L273" t="str">
        <f>"29/07/2021"</f>
        <v>29/07/2021</v>
      </c>
      <c r="M273" t="str">
        <f>""</f>
        <v/>
      </c>
      <c r="N273" t="str">
        <f>"Adriatica Commerciale Macchine s.r.l. Via dell'Artigianato 5 35020 Due Carrare PD"</f>
        <v>Adriatica Commerciale Macchine s.r.l. Via dell'Artigianato 5 35020 Due Carrare PD</v>
      </c>
      <c r="O273" t="str">
        <f>"Adriatica Commerciale Macchine s.r.l. Via dell'Artigianato 5 35020 Due Carrare PD"</f>
        <v>Adriatica Commerciale Macchine s.r.l. Via dell'Artigianato 5 35020 Due Carrare PD</v>
      </c>
      <c r="P273" t="str">
        <f>"ZCD19BC190: [2880.85€ ]"</f>
        <v>ZCD19BC190: [2880.85€ ]</v>
      </c>
      <c r="Q273" t="str">
        <f>""</f>
        <v/>
      </c>
      <c r="R273" t="str">
        <f>""</f>
        <v/>
      </c>
      <c r="S273" t="str">
        <f>""</f>
        <v/>
      </c>
      <c r="T273" t="str">
        <f>"https://portaletrasparenza.consorziobacchiglione.it/dettagli/attodigara/387/riparazione-e-manutenzione-mezzo-cingolato-904.html"</f>
        <v>https://portaletrasparenza.consorziobacchiglione.it/dettagli/attodigara/387/riparazione-e-manutenzione-mezzo-cingolato-904.html</v>
      </c>
      <c r="U273" t="str">
        <f>""</f>
        <v/>
      </c>
      <c r="V27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74" spans="1:22" x14ac:dyDescent="0.3">
      <c r="A274" t="str">
        <f>"Affidamento"</f>
        <v>Affidamento</v>
      </c>
      <c r="B274" t="str">
        <f>"Fornitura n 1 fusto olio idraulico e n 1 fusto olio minerale per mezzi Consorziali."</f>
        <v>Fornitura n 1 fusto olio idraulico e n 1 fusto olio minerale per mezzi Consorziali.</v>
      </c>
      <c r="C274" t="str">
        <f>"ZAE19BDA8B"</f>
        <v>ZAE19BDA8B</v>
      </c>
      <c r="D274" t="str">
        <f>"04/11/2021"</f>
        <v>04/11/2021</v>
      </c>
      <c r="E274" t="str">
        <f>""</f>
        <v/>
      </c>
      <c r="F274" t="str">
        <f>""</f>
        <v/>
      </c>
      <c r="G274" t="str">
        <f>"999.25"</f>
        <v>999.25</v>
      </c>
      <c r="H274" t="str">
        <f>"Consorzio di bonifica Bacchiglione"</f>
        <v>Consorzio di bonifica Bacchiglione</v>
      </c>
      <c r="I274" t="str">
        <f>"92223390284"</f>
        <v>92223390284</v>
      </c>
      <c r="J274" t="str">
        <f>"23-AFFIDAMENTO DIRETTO"</f>
        <v>23-AFFIDAMENTO DIRETTO</v>
      </c>
      <c r="K274" t="str">
        <f>"05/05/2021"</f>
        <v>05/05/2021</v>
      </c>
      <c r="L274" t="str">
        <f>"04/07/2021"</f>
        <v>04/07/2021</v>
      </c>
      <c r="M274" t="str">
        <f>""</f>
        <v/>
      </c>
      <c r="N274" t="str">
        <f>"Dimel s.a.s. di Donado Luca e C. Via Unità d'Italia 12 35020 Brugine PD"</f>
        <v>Dimel s.a.s. di Donado Luca e C. Via Unità d'Italia 12 35020 Brugine PD</v>
      </c>
      <c r="O274" t="str">
        <f>"Dimel s.a.s. di Donado Luca e C. Via Unità d'Italia 12 35020 Brugine PD"</f>
        <v>Dimel s.a.s. di Donado Luca e C. Via Unità d'Italia 12 35020 Brugine PD</v>
      </c>
      <c r="P274" t="str">
        <f>"ZAE19BDA8B: [999.24€ ]"</f>
        <v>ZAE19BDA8B: [999.24€ ]</v>
      </c>
      <c r="Q274" t="str">
        <f>""</f>
        <v/>
      </c>
      <c r="R274" t="str">
        <f>""</f>
        <v/>
      </c>
      <c r="S274" t="str">
        <f>""</f>
        <v/>
      </c>
      <c r="T274" t="str">
        <f>"https://portaletrasparenza.consorziobacchiglione.it/dettagli/attodigara/391/fornitura-n-1-fusto-olio-idraulico-e-n-1-fusto-olio-minerale-per-mezzi-consorziali.html"</f>
        <v>https://portaletrasparenza.consorziobacchiglione.it/dettagli/attodigara/391/fornitura-n-1-fusto-olio-idraulico-e-n-1-fusto-olio-minerale-per-mezzi-consorziali.html</v>
      </c>
      <c r="U274" t="str">
        <f>""</f>
        <v/>
      </c>
      <c r="V274">
        <f>(SUBSTITUTE(Tabella1[[#This Row],[Importo di aggiudicazione]],".",","))-(SUBSTITUTE(  SUBSTITUTE(          SUBSTITUTE(Tabella1[[#This Row],[Dettaglio somme liquidate]],Tabella1[[#This Row],[CIG]]&amp;": [",""),"€ ]",""),".",","))</f>
        <v>9.9999999999909051E-3</v>
      </c>
    </row>
    <row r="275" spans="1:22" x14ac:dyDescent="0.3">
      <c r="A275" t="str">
        <f>"Affidamento"</f>
        <v>Affidamento</v>
      </c>
      <c r="B275" t="str">
        <f>"Fornitura materiale edile per Scoli bacino Sesta Presa."</f>
        <v>Fornitura materiale edile per Scoli bacino Sesta Presa.</v>
      </c>
      <c r="C275" t="str">
        <f>"Z4719BD35F"</f>
        <v>Z4719BD35F</v>
      </c>
      <c r="D275" t="str">
        <f>"04/11/2021"</f>
        <v>04/11/2021</v>
      </c>
      <c r="E275" t="str">
        <f>""</f>
        <v/>
      </c>
      <c r="F275" t="str">
        <f>""</f>
        <v/>
      </c>
      <c r="G275" t="str">
        <f>"485.88"</f>
        <v>485.88</v>
      </c>
      <c r="H275" t="str">
        <f>"Consorzio di bonifica Bacchiglione"</f>
        <v>Consorzio di bonifica Bacchiglione</v>
      </c>
      <c r="I275" t="str">
        <f>"92223390284"</f>
        <v>92223390284</v>
      </c>
      <c r="J275" t="str">
        <f>"23-AFFIDAMENTO DIRETTO"</f>
        <v>23-AFFIDAMENTO DIRETTO</v>
      </c>
      <c r="K275" t="str">
        <f>"05/05/2021"</f>
        <v>05/05/2021</v>
      </c>
      <c r="L275" t="str">
        <f>"30/06/2021"</f>
        <v>30/06/2021</v>
      </c>
      <c r="M275" t="str">
        <f>""</f>
        <v/>
      </c>
      <c r="N275" t="str">
        <f>"Materiali Edili Fratelli Donà s.a.s. Via Fossalta 2 35025 Cartura PD"</f>
        <v>Materiali Edili Fratelli Donà s.a.s. Via Fossalta 2 35025 Cartura PD</v>
      </c>
      <c r="O275" t="str">
        <f>"Materiali Edili Fratelli Donà s.a.s. Via Fossalta 2 35025 Cartura PD"</f>
        <v>Materiali Edili Fratelli Donà s.a.s. Via Fossalta 2 35025 Cartura PD</v>
      </c>
      <c r="P275" t="str">
        <f>"Z4719BD35F: [485.64€ ]"</f>
        <v>Z4719BD35F: [485.64€ ]</v>
      </c>
      <c r="Q275" t="str">
        <f>""</f>
        <v/>
      </c>
      <c r="R275" t="str">
        <f>""</f>
        <v/>
      </c>
      <c r="S275" t="str">
        <f>""</f>
        <v/>
      </c>
      <c r="T275" t="str">
        <f>"https://portaletrasparenza.consorziobacchiglione.it/dettagli/attodigara/388/fornitura-materiale-edile-per-scoli-bacino-sesta-presa.html"</f>
        <v>https://portaletrasparenza.consorziobacchiglione.it/dettagli/attodigara/388/fornitura-materiale-edile-per-scoli-bacino-sesta-presa.html</v>
      </c>
      <c r="U275" t="str">
        <f>""</f>
        <v/>
      </c>
      <c r="V275">
        <f>(SUBSTITUTE(Tabella1[[#This Row],[Importo di aggiudicazione]],".",","))-(SUBSTITUTE(  SUBSTITUTE(          SUBSTITUTE(Tabella1[[#This Row],[Dettaglio somme liquidate]],Tabella1[[#This Row],[CIG]]&amp;": [",""),"€ ]",""),".",","))</f>
        <v>0.24000000000000909</v>
      </c>
    </row>
    <row r="276" spans="1:22" x14ac:dyDescent="0.3">
      <c r="A276" t="str">
        <f>"Affidamento"</f>
        <v>Affidamento</v>
      </c>
      <c r="B276" t="str">
        <f>"Fornitura materiale vario per Bacino Pratiarcati"</f>
        <v>Fornitura materiale vario per Bacino Pratiarcati</v>
      </c>
      <c r="C276" t="str">
        <f>"ZA63199E7E"</f>
        <v>ZA63199E7E</v>
      </c>
      <c r="D276" t="str">
        <f>"07/05/2021"</f>
        <v>07/05/2021</v>
      </c>
      <c r="E276" t="str">
        <f>""</f>
        <v/>
      </c>
      <c r="F276" t="str">
        <f>""</f>
        <v/>
      </c>
      <c r="G276" t="str">
        <f>"1194.65"</f>
        <v>1194.65</v>
      </c>
      <c r="H276" t="str">
        <f>"Consorzio di bonifica Bacchiglione"</f>
        <v>Consorzio di bonifica Bacchiglione</v>
      </c>
      <c r="I276" t="str">
        <f>"92223390284"</f>
        <v>92223390284</v>
      </c>
      <c r="J276" t="str">
        <f>"23-AFFIDAMENTO DIRETTO"</f>
        <v>23-AFFIDAMENTO DIRETTO</v>
      </c>
      <c r="K276" t="str">
        <f>"05/05/2021"</f>
        <v>05/05/2021</v>
      </c>
      <c r="L276" t="str">
        <f>"31/03/2021"</f>
        <v>31/03/2021</v>
      </c>
      <c r="M276" t="str">
        <f>""</f>
        <v/>
      </c>
      <c r="N276" t="str">
        <f>"Materiali Edili Fratelli Donà s.a.s. Via Fossalta 2 35025 Cartura PD"</f>
        <v>Materiali Edili Fratelli Donà s.a.s. Via Fossalta 2 35025 Cartura PD</v>
      </c>
      <c r="O276" t="str">
        <f>"Materiali Edili Fratelli Donà s.a.s. Via Fossalta 2 35025 Cartura PD"</f>
        <v>Materiali Edili Fratelli Donà s.a.s. Via Fossalta 2 35025 Cartura PD</v>
      </c>
      <c r="P276" t="s">
        <v>356</v>
      </c>
      <c r="Q276" t="str">
        <f>""</f>
        <v/>
      </c>
      <c r="R276" t="str">
        <f>""</f>
        <v/>
      </c>
      <c r="S276" t="str">
        <f>""</f>
        <v/>
      </c>
      <c r="T276" t="str">
        <f>"https://portaletrasparenza.consorziobacchiglione.it/dettagli/attodigara/6853/fornitura-materiale-vario-per-bacino-pratiarcati.html"</f>
        <v>https://portaletrasparenza.consorziobacchiglione.it/dettagli/attodigara/6853/fornitura-materiale-vario-per-bacino-pratiarcati.html</v>
      </c>
      <c r="U276" t="str">
        <f>"https://portaletrasparenza.consorziobacchiglione.it/download/attodigara/6853/63ac45888531c.PDF"</f>
        <v>https://portaletrasparenza.consorziobacchiglione.it/download/attodigara/6853/63ac45888531c.PDF</v>
      </c>
      <c r="V27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77" spans="1:22" x14ac:dyDescent="0.3">
      <c r="A277" t="str">
        <f>"Affidamento"</f>
        <v>Affidamento</v>
      </c>
      <c r="B277" t="str">
        <f>"Manutenzione e riparazione mezzi con targa: AJR631, AHH573."</f>
        <v>Manutenzione e riparazione mezzi con targa: AJR631, AHH573.</v>
      </c>
      <c r="C277" t="str">
        <f>"Z791A83CD2"</f>
        <v>Z791A83CD2</v>
      </c>
      <c r="D277" t="str">
        <f>"04/11/2021"</f>
        <v>04/11/2021</v>
      </c>
      <c r="E277" t="str">
        <f>""</f>
        <v/>
      </c>
      <c r="F277" t="str">
        <f>""</f>
        <v/>
      </c>
      <c r="G277" t="str">
        <f>"6664.62"</f>
        <v>6664.62</v>
      </c>
      <c r="H277" t="str">
        <f>"Consorzio di bonifica Bacchiglione"</f>
        <v>Consorzio di bonifica Bacchiglione</v>
      </c>
      <c r="I277" t="str">
        <f>"92223390284"</f>
        <v>92223390284</v>
      </c>
      <c r="J277" t="str">
        <f>"23-AFFIDAMENTO DIRETTO"</f>
        <v>23-AFFIDAMENTO DIRETTO</v>
      </c>
      <c r="K277" t="str">
        <f>"05/07/2021"</f>
        <v>05/07/2021</v>
      </c>
      <c r="L277" t="str">
        <f>"06/09/2021"</f>
        <v>06/09/2021</v>
      </c>
      <c r="M277" t="str">
        <f>""</f>
        <v/>
      </c>
      <c r="N277" t="str">
        <f>"Negrisolo Officina Meccanica s.a.s. V.le delle Industrie II° strada 13 35025 Cagnola di Cartura PD"</f>
        <v>Negrisolo Officina Meccanica s.a.s. V.le delle Industrie II° strada 13 35025 Cagnola di Cartura PD</v>
      </c>
      <c r="O277" t="str">
        <f>"Negrisolo Officina Meccanica s.a.s. V.le delle Industrie II° strada 13 35025 Cagnola di Cartura PD"</f>
        <v>Negrisolo Officina Meccanica s.a.s. V.le delle Industrie II° strada 13 35025 Cagnola di Cartura PD</v>
      </c>
      <c r="P277" t="str">
        <f>"Z791A83CD2: [6664.62€ ]"</f>
        <v>Z791A83CD2: [6664.62€ ]</v>
      </c>
      <c r="Q277" t="str">
        <f>""</f>
        <v/>
      </c>
      <c r="R277" t="str">
        <f>""</f>
        <v/>
      </c>
      <c r="S277" t="str">
        <f>""</f>
        <v/>
      </c>
      <c r="T277" t="str">
        <f>"https://portaletrasparenza.consorziobacchiglione.it/dettagli/attodigara/562/manutenzione-e-riparazione-mezzi-con-targa-ajr631-ahh573.html"</f>
        <v>https://portaletrasparenza.consorziobacchiglione.it/dettagli/attodigara/562/manutenzione-e-riparazione-mezzi-con-targa-ajr631-ahh573.html</v>
      </c>
      <c r="U277" t="str">
        <f>""</f>
        <v/>
      </c>
      <c r="V2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78" spans="1:22" x14ac:dyDescent="0.3">
      <c r="A278" t="str">
        <f>"Affidamento"</f>
        <v>Affidamento</v>
      </c>
      <c r="B278" t="str">
        <f>"Manutenzione e riparazione mezzi con targa: AJR631, AHH573."</f>
        <v>Manutenzione e riparazione mezzi con targa: AJR631, AHH573.</v>
      </c>
      <c r="C278" t="str">
        <f>"Z581A83BC5"</f>
        <v>Z581A83BC5</v>
      </c>
      <c r="D278" t="str">
        <f>"04/11/2021"</f>
        <v>04/11/2021</v>
      </c>
      <c r="E278" t="str">
        <f>""</f>
        <v/>
      </c>
      <c r="F278" t="str">
        <f>""</f>
        <v/>
      </c>
      <c r="G278" t="str">
        <f>"1478.81"</f>
        <v>1478.81</v>
      </c>
      <c r="H278" t="str">
        <f>"Consorzio di bonifica Bacchiglione"</f>
        <v>Consorzio di bonifica Bacchiglione</v>
      </c>
      <c r="I278" t="str">
        <f>"92223390284"</f>
        <v>92223390284</v>
      </c>
      <c r="J278" t="str">
        <f>"23-AFFIDAMENTO DIRETTO"</f>
        <v>23-AFFIDAMENTO DIRETTO</v>
      </c>
      <c r="K278" t="str">
        <f>"05/07/2021"</f>
        <v>05/07/2021</v>
      </c>
      <c r="L278" t="str">
        <f>"06/09/2021"</f>
        <v>06/09/2021</v>
      </c>
      <c r="M278" t="str">
        <f>""</f>
        <v/>
      </c>
      <c r="N278" t="str">
        <f>"Negrisolo Officina Meccanica s.a.s. V.le delle Industrie II° strada 13 35025 Cagnola di Cartura PD"</f>
        <v>Negrisolo Officina Meccanica s.a.s. V.le delle Industrie II° strada 13 35025 Cagnola di Cartura PD</v>
      </c>
      <c r="O278" t="str">
        <f>"Negrisolo Officina Meccanica s.a.s. V.le delle Industrie II° strada 13 35025 Cagnola di Cartura PD"</f>
        <v>Negrisolo Officina Meccanica s.a.s. V.le delle Industrie II° strada 13 35025 Cagnola di Cartura PD</v>
      </c>
      <c r="P278" t="str">
        <f>"Z581A83BC5: [1478.81€ ]"</f>
        <v>Z581A83BC5: [1478.81€ ]</v>
      </c>
      <c r="Q278" t="str">
        <f>""</f>
        <v/>
      </c>
      <c r="R278" t="str">
        <f>""</f>
        <v/>
      </c>
      <c r="S278" t="str">
        <f>""</f>
        <v/>
      </c>
      <c r="T278" t="str">
        <f>"https://portaletrasparenza.consorziobacchiglione.it/dettagli/attodigara/561/manutenzione-e-riparazione-mezzi-con-targa-ajr631-ahh573.html"</f>
        <v>https://portaletrasparenza.consorziobacchiglione.it/dettagli/attodigara/561/manutenzione-e-riparazione-mezzi-con-targa-ajr631-ahh573.html</v>
      </c>
      <c r="U278" t="str">
        <f>""</f>
        <v/>
      </c>
      <c r="V27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79" spans="1:22" x14ac:dyDescent="0.3">
      <c r="A279" t="str">
        <f>"Affidamento"</f>
        <v>Affidamento</v>
      </c>
      <c r="B279" t="str">
        <f>"Fornitura n 2 RMA per Idrovora Pavariane Vecchie e Impianto Irriguo Olmo."</f>
        <v>Fornitura n 2 RMA per Idrovora Pavariane Vecchie e Impianto Irriguo Olmo.</v>
      </c>
      <c r="C279" t="str">
        <f>"Z1F1A83636"</f>
        <v>Z1F1A83636</v>
      </c>
      <c r="D279" t="str">
        <f>"04/11/2021"</f>
        <v>04/11/2021</v>
      </c>
      <c r="E279" t="str">
        <f>""</f>
        <v/>
      </c>
      <c r="F279" t="str">
        <f>""</f>
        <v/>
      </c>
      <c r="G279" t="str">
        <f>"633.00"</f>
        <v>633.00</v>
      </c>
      <c r="H279" t="str">
        <f>"Consorzio di bonifica Bacchiglione"</f>
        <v>Consorzio di bonifica Bacchiglione</v>
      </c>
      <c r="I279" t="str">
        <f>"92223390284"</f>
        <v>92223390284</v>
      </c>
      <c r="J279" t="str">
        <f>"23-AFFIDAMENTO DIRETTO"</f>
        <v>23-AFFIDAMENTO DIRETTO</v>
      </c>
      <c r="K279" t="str">
        <f>"05/07/2021"</f>
        <v>05/07/2021</v>
      </c>
      <c r="L279" t="str">
        <f>"01/08/2021"</f>
        <v>01/08/2021</v>
      </c>
      <c r="M279" t="str">
        <f>""</f>
        <v/>
      </c>
      <c r="N279" t="str">
        <f>"Endress + Hauser Italia S.p.A. Via Fratelli di Dio 7 20063 Cernusco S-N MI"</f>
        <v>Endress + Hauser Italia S.p.A. Via Fratelli di Dio 7 20063 Cernusco S-N MI</v>
      </c>
      <c r="O279" t="str">
        <f>"Endress + Hauser Italia S.p.A. Via Fratelli di Dio 7 20063 Cernusco S-N MI"</f>
        <v>Endress + Hauser Italia S.p.A. Via Fratelli di Dio 7 20063 Cernusco S-N MI</v>
      </c>
      <c r="P279" t="str">
        <f>"Z1F1A83636: [633.00€ ]"</f>
        <v>Z1F1A83636: [633.00€ ]</v>
      </c>
      <c r="Q279" t="str">
        <f>""</f>
        <v/>
      </c>
      <c r="R279" t="str">
        <f>""</f>
        <v/>
      </c>
      <c r="S279" t="str">
        <f>""</f>
        <v/>
      </c>
      <c r="T279" t="str">
        <f>"https://portaletrasparenza.consorziobacchiglione.it/dettagli/attodigara/560/fornitura-n-2-rma-per-idrovora-pavariane-vecchie-e-impianto-irriguo-olmo.html"</f>
        <v>https://portaletrasparenza.consorziobacchiglione.it/dettagli/attodigara/560/fornitura-n-2-rma-per-idrovora-pavariane-vecchie-e-impianto-irriguo-olmo.html</v>
      </c>
      <c r="U279" t="str">
        <f>""</f>
        <v/>
      </c>
      <c r="V2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80" spans="1:22" x14ac:dyDescent="0.3">
      <c r="A280" t="str">
        <f>"Affidamento"</f>
        <v>Affidamento</v>
      </c>
      <c r="B280" t="str">
        <f>"Fornitura materiale elettrico per vari impianti."</f>
        <v>Fornitura materiale elettrico per vari impianti.</v>
      </c>
      <c r="C280" t="str">
        <f>"Z321A83573"</f>
        <v>Z321A83573</v>
      </c>
      <c r="D280" t="str">
        <f>"04/11/2021"</f>
        <v>04/11/2021</v>
      </c>
      <c r="E280" t="str">
        <f>""</f>
        <v/>
      </c>
      <c r="F280" t="str">
        <f>""</f>
        <v/>
      </c>
      <c r="G280" t="str">
        <f>"1883.30"</f>
        <v>1883.30</v>
      </c>
      <c r="H280" t="str">
        <f>"Consorzio di bonifica Bacchiglione"</f>
        <v>Consorzio di bonifica Bacchiglione</v>
      </c>
      <c r="I280" t="str">
        <f>"92223390284"</f>
        <v>92223390284</v>
      </c>
      <c r="J280" t="str">
        <f>"23-AFFIDAMENTO DIRETTO"</f>
        <v>23-AFFIDAMENTO DIRETTO</v>
      </c>
      <c r="K280" t="str">
        <f>"05/07/2021"</f>
        <v>05/07/2021</v>
      </c>
      <c r="L280" t="str">
        <f>"06/09/2021"</f>
        <v>06/09/2021</v>
      </c>
      <c r="M280" t="str">
        <f>""</f>
        <v/>
      </c>
      <c r="N280" t="str">
        <f>"Elettroveneta S.p.A. Viale della Navigazione Interna, 48 - 35129 Padova (PD)"</f>
        <v>Elettroveneta S.p.A. Viale della Navigazione Interna, 48 - 35129 Padova (PD)</v>
      </c>
      <c r="O280" t="str">
        <f>"Elettroveneta S.p.A. Viale della Navigazione Interna, 48 - 35129 Padova (PD)"</f>
        <v>Elettroveneta S.p.A. Viale della Navigazione Interna, 48 - 35129 Padova (PD)</v>
      </c>
      <c r="P280" t="str">
        <f>"Z321A83573: [1883.30€ ]"</f>
        <v>Z321A83573: [1883.30€ ]</v>
      </c>
      <c r="Q280" t="str">
        <f>""</f>
        <v/>
      </c>
      <c r="R280" t="str">
        <f>""</f>
        <v/>
      </c>
      <c r="S280" t="str">
        <f>""</f>
        <v/>
      </c>
      <c r="T280" t="str">
        <f>"https://portaletrasparenza.consorziobacchiglione.it/dettagli/attodigara/559/fornitura-materiale-elettrico-per-vari-impianti.html"</f>
        <v>https://portaletrasparenza.consorziobacchiglione.it/dettagli/attodigara/559/fornitura-materiale-elettrico-per-vari-impianti.html</v>
      </c>
      <c r="U280" t="str">
        <f>""</f>
        <v/>
      </c>
      <c r="V28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81" spans="1:22" x14ac:dyDescent="0.3">
      <c r="A281" t="str">
        <f>"Affidamento"</f>
        <v>Affidamento</v>
      </c>
      <c r="B281" t="str">
        <f>"Fornitura n 1 fusto da litri 200 di Urea per mezzo C.O.S.Margherita."</f>
        <v>Fornitura n 1 fusto da litri 200 di Urea per mezzo C.O.S.Margherita.</v>
      </c>
      <c r="C281" t="str">
        <f>"ZA51A83512"</f>
        <v>ZA51A83512</v>
      </c>
      <c r="D281" t="str">
        <f>"04/11/2021"</f>
        <v>04/11/2021</v>
      </c>
      <c r="E281" t="str">
        <f>""</f>
        <v/>
      </c>
      <c r="F281" t="str">
        <f>""</f>
        <v/>
      </c>
      <c r="G281" t="str">
        <f>"165.00"</f>
        <v>165.00</v>
      </c>
      <c r="H281" t="str">
        <f>"Consorzio di bonifica Bacchiglione"</f>
        <v>Consorzio di bonifica Bacchiglione</v>
      </c>
      <c r="I281" t="str">
        <f>"92223390284"</f>
        <v>92223390284</v>
      </c>
      <c r="J281" t="str">
        <f>"23-AFFIDAMENTO DIRETTO"</f>
        <v>23-AFFIDAMENTO DIRETTO</v>
      </c>
      <c r="K281" t="str">
        <f>"05/07/2021"</f>
        <v>05/07/2021</v>
      </c>
      <c r="L281" t="str">
        <f>"10/08/2021"</f>
        <v>10/08/2021</v>
      </c>
      <c r="M281" t="str">
        <f>""</f>
        <v/>
      </c>
      <c r="N281" t="str">
        <f>"Consorzio Agrario del Nordest Via Francia 2 37135 Verona"</f>
        <v>Consorzio Agrario del Nordest Via Francia 2 37135 Verona</v>
      </c>
      <c r="O281" t="str">
        <f>"Consorzio Agrario del Nordest Via Francia 2 37135 Verona"</f>
        <v>Consorzio Agrario del Nordest Via Francia 2 37135 Verona</v>
      </c>
      <c r="P281" t="str">
        <f>"ZA51A83512: [165.00€ ]"</f>
        <v>ZA51A83512: [165.00€ ]</v>
      </c>
      <c r="Q281" t="str">
        <f>""</f>
        <v/>
      </c>
      <c r="R281" t="str">
        <f>""</f>
        <v/>
      </c>
      <c r="S281" t="str">
        <f>""</f>
        <v/>
      </c>
      <c r="T281" t="str">
        <f>"https://portaletrasparenza.consorziobacchiglione.it/dettagli/attodigara/558/fornitura-n-1-fusto-da-litri-200-di-urea-per-mezzo-c-o-s-margherita.html"</f>
        <v>https://portaletrasparenza.consorziobacchiglione.it/dettagli/attodigara/558/fornitura-n-1-fusto-da-litri-200-di-urea-per-mezzo-c-o-s-margherita.html</v>
      </c>
      <c r="U281" t="str">
        <f>""</f>
        <v/>
      </c>
      <c r="V28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82" spans="1:22" x14ac:dyDescent="0.3">
      <c r="A282" t="str">
        <f>"Affidamento"</f>
        <v>Affidamento</v>
      </c>
      <c r="B282" t="str">
        <f>"ID 004-07 - BERNIO LOTTO A - Fornitura e consegna presso l impianto idrovoro di n.2 cassoni a tenuta stagna del volume utile di 17mc per la raccolta del materiale galleggiante recuperato dallo sgrigliatore - Processo ID"</f>
        <v>ID 004-07 - BERNIO LOTTO A - Fornitura e consegna presso l impianto idrovoro di n.2 cassoni a tenuta stagna del volume utile di 17mc per la raccolta del materiale galleggiante recuperato dallo sgrigliatore - Processo ID</v>
      </c>
      <c r="C282" t="str">
        <f>"ZFA3258DB9"</f>
        <v>ZFA3258DB9</v>
      </c>
      <c r="D282" t="str">
        <f>"06/07/2021"</f>
        <v>06/07/2021</v>
      </c>
      <c r="E282" t="str">
        <f>""</f>
        <v/>
      </c>
      <c r="F282" t="str">
        <f>""</f>
        <v/>
      </c>
      <c r="G282" t="str">
        <f>"9580.00"</f>
        <v>9580.00</v>
      </c>
      <c r="H282" t="str">
        <f>"Consorzio di bonifica Bacchiglione"</f>
        <v>Consorzio di bonifica Bacchiglione</v>
      </c>
      <c r="I282" t="str">
        <f>"92223390284"</f>
        <v>92223390284</v>
      </c>
      <c r="J282" t="str">
        <f>"23-AFFIDAMENTO DIRETTO"</f>
        <v>23-AFFIDAMENTO DIRETTO</v>
      </c>
      <c r="K282" t="str">
        <f>"05/07/2021"</f>
        <v>05/07/2021</v>
      </c>
      <c r="L282" t="str">
        <f>"31/08/2021"</f>
        <v>31/08/2021</v>
      </c>
      <c r="M282" t="str">
        <f>""</f>
        <v/>
      </c>
      <c r="N282" t="str">
        <f>"Locatelli Eurocontainers SpA"</f>
        <v>Locatelli Eurocontainers SpA</v>
      </c>
      <c r="O282" t="str">
        <f>"Locatelli Eurocontainers SpA"</f>
        <v>Locatelli Eurocontainers SpA</v>
      </c>
      <c r="P282" t="str">
        <f>"ZFA3258DB9: [9580.00€ ]"</f>
        <v>ZFA3258DB9: [9580.00€ ]</v>
      </c>
      <c r="Q282" t="str">
        <f>""</f>
        <v/>
      </c>
      <c r="R282" t="str">
        <f>""</f>
        <v/>
      </c>
      <c r="S282" t="str">
        <f>""</f>
        <v/>
      </c>
      <c r="T282" t="s">
        <v>96</v>
      </c>
      <c r="U282" t="str">
        <f>"https://portaletrasparenza.consorziobacchiglione.it/download/attodigara/6993/63ac45a00422c.PDF"</f>
        <v>https://portaletrasparenza.consorziobacchiglione.it/download/attodigara/6993/63ac45a00422c.PDF</v>
      </c>
      <c r="V2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83" spans="1:22" x14ac:dyDescent="0.3">
      <c r="A283" t="str">
        <f>"Affidamento"</f>
        <v>Affidamento</v>
      </c>
      <c r="B283" t="str">
        <f>"Noleggio trattore John Deere targato ADM325 con braccio lungo 12 mt. presso Bacino Pratiarcati"</f>
        <v>Noleggio trattore John Deere targato ADM325 con braccio lungo 12 mt. presso Bacino Pratiarcati</v>
      </c>
      <c r="C283" t="str">
        <f>"Z353257414"</f>
        <v>Z353257414</v>
      </c>
      <c r="D283" t="str">
        <f>"13/07/2021"</f>
        <v>13/07/2021</v>
      </c>
      <c r="E283" t="str">
        <f>""</f>
        <v/>
      </c>
      <c r="F283" t="str">
        <f>""</f>
        <v/>
      </c>
      <c r="G283" t="str">
        <f>"3000.00"</f>
        <v>3000.00</v>
      </c>
      <c r="H283" t="str">
        <f>"Consorzio di bonifica Bacchiglione"</f>
        <v>Consorzio di bonifica Bacchiglione</v>
      </c>
      <c r="I283" t="str">
        <f>"92223390284"</f>
        <v>92223390284</v>
      </c>
      <c r="J283" t="str">
        <f>"23-AFFIDAMENTO DIRETTO"</f>
        <v>23-AFFIDAMENTO DIRETTO</v>
      </c>
      <c r="K283" t="str">
        <f>"05/07/2021"</f>
        <v>05/07/2021</v>
      </c>
      <c r="L283" t="str">
        <f>"20/07/2021"</f>
        <v>20/07/2021</v>
      </c>
      <c r="M283" t="str">
        <f>""</f>
        <v/>
      </c>
      <c r="N283" t="str">
        <f>"Viale Valter Via 1° Maggio 124 30010 Campagna Lupia VE"</f>
        <v>Viale Valter Via 1° Maggio 124 30010 Campagna Lupia VE</v>
      </c>
      <c r="O283" t="str">
        <f>"Viale Valter Via 1° Maggio 124 30010 Campagna Lupia VE"</f>
        <v>Viale Valter Via 1° Maggio 124 30010 Campagna Lupia VE</v>
      </c>
      <c r="P283" t="str">
        <f>"Z353257414: [3000.00€ ]"</f>
        <v>Z353257414: [3000.00€ ]</v>
      </c>
      <c r="Q283" t="str">
        <f>""</f>
        <v/>
      </c>
      <c r="R283" t="str">
        <f>""</f>
        <v/>
      </c>
      <c r="S283" t="str">
        <f>""</f>
        <v/>
      </c>
      <c r="T283" t="str">
        <f>"https://portaletrasparenza.consorziobacchiglione.it/dettagli/attodigara/6994/noleggio-trattore-john-deere-targato-adm325-con-braccio-lungo-12-mt-presso-bacino-pratiarcati.html"</f>
        <v>https://portaletrasparenza.consorziobacchiglione.it/dettagli/attodigara/6994/noleggio-trattore-john-deere-targato-adm325-con-braccio-lungo-12-mt-presso-bacino-pratiarcati.html</v>
      </c>
      <c r="U283" t="str">
        <f>"https://portaletrasparenza.consorziobacchiglione.it/download/attodigara/6994/63ac45a52a02e.PDF"</f>
        <v>https://portaletrasparenza.consorziobacchiglione.it/download/attodigara/6994/63ac45a52a02e.PDF</v>
      </c>
      <c r="V28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84" spans="1:22" x14ac:dyDescent="0.3">
      <c r="A284" t="str">
        <f>"Affidamento"</f>
        <v>Affidamento</v>
      </c>
      <c r="B284" t="str">
        <f>"Carico materiale in sospensione, pulizia grigliato in zona ponte dei Cavalli e zona Valle del Ponte dei Molini, in comune di Dolo, sul fiume Naviglio Brenta."</f>
        <v>Carico materiale in sospensione, pulizia grigliato in zona ponte dei Cavalli e zona Valle del Ponte dei Molini, in comune di Dolo, sul fiume Naviglio Brenta.</v>
      </c>
      <c r="C284" t="str">
        <f>"Z461AE15FA"</f>
        <v>Z461AE15FA</v>
      </c>
      <c r="D284" t="str">
        <f>"04/11/2021"</f>
        <v>04/11/2021</v>
      </c>
      <c r="E284" t="str">
        <f>""</f>
        <v/>
      </c>
      <c r="F284" t="str">
        <f>""</f>
        <v/>
      </c>
      <c r="G284" t="str">
        <f>"850.00"</f>
        <v>850.00</v>
      </c>
      <c r="H284" t="str">
        <f>"Consorzio di bonifica Bacchiglione"</f>
        <v>Consorzio di bonifica Bacchiglione</v>
      </c>
      <c r="I284" t="str">
        <f>"92223390284"</f>
        <v>92223390284</v>
      </c>
      <c r="J284" t="str">
        <f>"23-AFFIDAMENTO DIRETTO"</f>
        <v>23-AFFIDAMENTO DIRETTO</v>
      </c>
      <c r="K284" t="str">
        <f>"05/08/2021"</f>
        <v>05/08/2021</v>
      </c>
      <c r="L284" t="str">
        <f>"06/09/2021"</f>
        <v>06/09/2021</v>
      </c>
      <c r="M284" t="str">
        <f>""</f>
        <v/>
      </c>
      <c r="N284" t="str">
        <f>"Delor snc Via Argine Dx Canale Taglio 89 30034 Mira VE"</f>
        <v>Delor snc Via Argine Dx Canale Taglio 89 30034 Mira VE</v>
      </c>
      <c r="O284" t="str">
        <f>"Delor snc Via Argine Dx Canale Taglio 89 30034 Mira VE"</f>
        <v>Delor snc Via Argine Dx Canale Taglio 89 30034 Mira VE</v>
      </c>
      <c r="P284" t="str">
        <f>"Z461AE15FA: [850.00€ ]"</f>
        <v>Z461AE15FA: [850.00€ ]</v>
      </c>
      <c r="Q284" t="str">
        <f>""</f>
        <v/>
      </c>
      <c r="R284" t="str">
        <f>""</f>
        <v/>
      </c>
      <c r="S284" t="str">
        <f>""</f>
        <v/>
      </c>
      <c r="T284" t="str">
        <f>"https://portaletrasparenza.consorziobacchiglione.it/dettagli/attodigara/659/carico-materiale-in-sospensione-pulizia-grigliato-in-zona-ponte-dei-cavalli-e-zona-valle-del-ponte-dei-molini-in-comune-di-dolo-sul-fiume-naviglio-brenta.html"</f>
        <v>https://portaletrasparenza.consorziobacchiglione.it/dettagli/attodigara/659/carico-materiale-in-sospensione-pulizia-grigliato-in-zona-ponte-dei-cavalli-e-zona-valle-del-ponte-dei-molini-in-comune-di-dolo-sul-fiume-naviglio-brenta.html</v>
      </c>
      <c r="U284" t="str">
        <f>""</f>
        <v/>
      </c>
      <c r="V2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85" spans="1:22" x14ac:dyDescent="0.3">
      <c r="A285" t="str">
        <f>"Affidamento"</f>
        <v>Affidamento</v>
      </c>
      <c r="B285" t="str">
        <f>"Pulizia con canal jet scolo Piscine, scolo Alto, scolo Tabacchin."</f>
        <v>Pulizia con canal jet scolo Piscine, scolo Alto, scolo Tabacchin.</v>
      </c>
      <c r="C285" t="str">
        <f>"Z341AE084D"</f>
        <v>Z341AE084D</v>
      </c>
      <c r="D285" t="str">
        <f>"04/11/2021"</f>
        <v>04/11/2021</v>
      </c>
      <c r="E285" t="str">
        <f>""</f>
        <v/>
      </c>
      <c r="F285" t="str">
        <f>""</f>
        <v/>
      </c>
      <c r="G285" t="str">
        <f>"650.00"</f>
        <v>650.00</v>
      </c>
      <c r="H285" t="str">
        <f>"Consorzio di bonifica Bacchiglione"</f>
        <v>Consorzio di bonifica Bacchiglione</v>
      </c>
      <c r="I285" t="str">
        <f>"92223390284"</f>
        <v>92223390284</v>
      </c>
      <c r="J285" t="str">
        <f>"23-AFFIDAMENTO DIRETTO"</f>
        <v>23-AFFIDAMENTO DIRETTO</v>
      </c>
      <c r="K285" t="str">
        <f>"05/08/2021"</f>
        <v>05/08/2021</v>
      </c>
      <c r="L285" t="str">
        <f>"05/10/2021"</f>
        <v>05/10/2021</v>
      </c>
      <c r="M285" t="str">
        <f>""</f>
        <v/>
      </c>
      <c r="N285" t="str">
        <f>"Ferrara Vittorio Via Frignolo 23C 35020 Conche di Codevigo PD"</f>
        <v>Ferrara Vittorio Via Frignolo 23C 35020 Conche di Codevigo PD</v>
      </c>
      <c r="O285" t="str">
        <f>"Ferrara Vittorio Via Frignolo 23C 35020 Conche di Codevigo PD"</f>
        <v>Ferrara Vittorio Via Frignolo 23C 35020 Conche di Codevigo PD</v>
      </c>
      <c r="P285" t="str">
        <f>"Z341AE084D: [650.00€ ]"</f>
        <v>Z341AE084D: [650.00€ ]</v>
      </c>
      <c r="Q285" t="str">
        <f>""</f>
        <v/>
      </c>
      <c r="R285" t="str">
        <f>""</f>
        <v/>
      </c>
      <c r="S285" t="str">
        <f>""</f>
        <v/>
      </c>
      <c r="T285" t="str">
        <f>"https://portaletrasparenza.consorziobacchiglione.it/dettagli/attodigara/658/pulizia-con-canal-jet-scolo-piscine-scolo-alto-scolo-tabacchin.html"</f>
        <v>https://portaletrasparenza.consorziobacchiglione.it/dettagli/attodigara/658/pulizia-con-canal-jet-scolo-piscine-scolo-alto-scolo-tabacchin.html</v>
      </c>
      <c r="U285" t="str">
        <f>""</f>
        <v/>
      </c>
      <c r="V2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86" spans="1:22" x14ac:dyDescent="0.3">
      <c r="A286" t="str">
        <f>"Affidamento"</f>
        <v>Affidamento</v>
      </c>
      <c r="B286" t="str">
        <f>"Riparazione e manutenzione tagliasiepi a batteria Hitachi NR.30 C.O.S.Margherita."</f>
        <v>Riparazione e manutenzione tagliasiepi a batteria Hitachi NR.30 C.O.S.Margherita.</v>
      </c>
      <c r="C286" t="str">
        <f>"ZA71ADF741"</f>
        <v>ZA71ADF741</v>
      </c>
      <c r="D286" t="str">
        <f>"04/11/2021"</f>
        <v>04/11/2021</v>
      </c>
      <c r="E286" t="str">
        <f>""</f>
        <v/>
      </c>
      <c r="F286" t="str">
        <f>""</f>
        <v/>
      </c>
      <c r="G286" t="str">
        <f>"178.60"</f>
        <v>178.60</v>
      </c>
      <c r="H286" t="str">
        <f>"Consorzio di bonifica Bacchiglione"</f>
        <v>Consorzio di bonifica Bacchiglione</v>
      </c>
      <c r="I286" t="str">
        <f>"92223390284"</f>
        <v>92223390284</v>
      </c>
      <c r="J286" t="str">
        <f>"23-AFFIDAMENTO DIRETTO"</f>
        <v>23-AFFIDAMENTO DIRETTO</v>
      </c>
      <c r="K286" t="str">
        <f>"05/08/2021"</f>
        <v>05/08/2021</v>
      </c>
      <c r="L286" t="str">
        <f>"16/09/2021"</f>
        <v>16/09/2021</v>
      </c>
      <c r="M286" t="str">
        <f>""</f>
        <v/>
      </c>
      <c r="N286" t="str">
        <f>"Scarpa Sergio Elettromeccanica S.n.c. di Scarpa Paola E C. Via A. Vivaldi 7 35028 Piove di Sacco PD"</f>
        <v>Scarpa Sergio Elettromeccanica S.n.c. di Scarpa Paola E C. Via A. Vivaldi 7 35028 Piove di Sacco PD</v>
      </c>
      <c r="O286" t="str">
        <f>"Scarpa Sergio Elettromeccanica S.n.c. di Scarpa Paola E C. Via A. Vivaldi 7 35028 Piove di Sacco PD"</f>
        <v>Scarpa Sergio Elettromeccanica S.n.c. di Scarpa Paola E C. Via A. Vivaldi 7 35028 Piove di Sacco PD</v>
      </c>
      <c r="P286" t="str">
        <f>"ZA71ADF741: [178.60€ ]"</f>
        <v>ZA71ADF741: [178.60€ ]</v>
      </c>
      <c r="Q286" t="str">
        <f>""</f>
        <v/>
      </c>
      <c r="R286" t="str">
        <f>""</f>
        <v/>
      </c>
      <c r="S286" t="str">
        <f>""</f>
        <v/>
      </c>
      <c r="T286" t="str">
        <f>"https://portaletrasparenza.consorziobacchiglione.it/dettagli/attodigara/657/riparazione-e-manutenzione-tagliasiepi-a-batteria-hitachi-nr-30-c-o-s-margherita.html"</f>
        <v>https://portaletrasparenza.consorziobacchiglione.it/dettagli/attodigara/657/riparazione-e-manutenzione-tagliasiepi-a-batteria-hitachi-nr-30-c-o-s-margherita.html</v>
      </c>
      <c r="U286" t="str">
        <f>""</f>
        <v/>
      </c>
      <c r="V28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87" spans="1:22" x14ac:dyDescent="0.3">
      <c r="A287" t="str">
        <f>"Affidamento"</f>
        <v>Affidamento</v>
      </c>
      <c r="B287" t="str">
        <f>"Pulizia e lavaggio pompa del grasso EP3 Idrovora S.Margherita."</f>
        <v>Pulizia e lavaggio pompa del grasso EP3 Idrovora S.Margherita.</v>
      </c>
      <c r="C287" t="str">
        <f>"ZC91ADF69D"</f>
        <v>ZC91ADF69D</v>
      </c>
      <c r="D287" t="str">
        <f>"04/11/2021"</f>
        <v>04/11/2021</v>
      </c>
      <c r="E287" t="str">
        <f>""</f>
        <v/>
      </c>
      <c r="F287" t="str">
        <f>""</f>
        <v/>
      </c>
      <c r="G287" t="str">
        <f>"248.50"</f>
        <v>248.50</v>
      </c>
      <c r="H287" t="str">
        <f>"Consorzio di bonifica Bacchiglione"</f>
        <v>Consorzio di bonifica Bacchiglione</v>
      </c>
      <c r="I287" t="str">
        <f>"92223390284"</f>
        <v>92223390284</v>
      </c>
      <c r="J287" t="str">
        <f>"23-AFFIDAMENTO DIRETTO"</f>
        <v>23-AFFIDAMENTO DIRETTO</v>
      </c>
      <c r="K287" t="str">
        <f>"05/08/2021"</f>
        <v>05/08/2021</v>
      </c>
      <c r="L287" t="str">
        <f>"16/09/2021"</f>
        <v>16/09/2021</v>
      </c>
      <c r="M287" t="str">
        <f>""</f>
        <v/>
      </c>
      <c r="N287" t="str">
        <f>"Scarpa Sergio Elettromeccanica S.n.c. di Scarpa Paola E C. Via A. Vivaldi 7 35028 Piove di Sacco PD"</f>
        <v>Scarpa Sergio Elettromeccanica S.n.c. di Scarpa Paola E C. Via A. Vivaldi 7 35028 Piove di Sacco PD</v>
      </c>
      <c r="O287" t="str">
        <f>"Scarpa Sergio Elettromeccanica S.n.c. di Scarpa Paola E C. Via A. Vivaldi 7 35028 Piove di Sacco PD"</f>
        <v>Scarpa Sergio Elettromeccanica S.n.c. di Scarpa Paola E C. Via A. Vivaldi 7 35028 Piove di Sacco PD</v>
      </c>
      <c r="P287" t="str">
        <f>"ZC91ADF69D: [248.50€ ]"</f>
        <v>ZC91ADF69D: [248.50€ ]</v>
      </c>
      <c r="Q287" t="str">
        <f>""</f>
        <v/>
      </c>
      <c r="R287" t="str">
        <f>""</f>
        <v/>
      </c>
      <c r="S287" t="str">
        <f>""</f>
        <v/>
      </c>
      <c r="T287" t="str">
        <f>"https://portaletrasparenza.consorziobacchiglione.it/dettagli/attodigara/656/pulizia-e-lavaggio-pompa-del-grasso-ep3-idrovora-s-margherita.html"</f>
        <v>https://portaletrasparenza.consorziobacchiglione.it/dettagli/attodigara/656/pulizia-e-lavaggio-pompa-del-grasso-ep3-idrovora-s-margherita.html</v>
      </c>
      <c r="U287" t="str">
        <f>""</f>
        <v/>
      </c>
      <c r="V2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88" spans="1:22" x14ac:dyDescent="0.3">
      <c r="A288" t="str">
        <f>"Affidamento"</f>
        <v>Affidamento</v>
      </c>
      <c r="B288" t="str">
        <f>"Fornitura antigelo impianti frenanti e tappeti in gomma grande per mezzi con targa: AJ206BM, AKD221."</f>
        <v>Fornitura antigelo impianti frenanti e tappeti in gomma grande per mezzi con targa: AJ206BM, AKD221.</v>
      </c>
      <c r="C288" t="str">
        <f>"Z0E1ADF53C"</f>
        <v>Z0E1ADF53C</v>
      </c>
      <c r="D288" t="str">
        <f>"04/11/2021"</f>
        <v>04/11/2021</v>
      </c>
      <c r="E288" t="str">
        <f>""</f>
        <v/>
      </c>
      <c r="F288" t="str">
        <f>""</f>
        <v/>
      </c>
      <c r="G288" t="str">
        <f>"49.00"</f>
        <v>49.00</v>
      </c>
      <c r="H288" t="str">
        <f>"Consorzio di bonifica Bacchiglione"</f>
        <v>Consorzio di bonifica Bacchiglione</v>
      </c>
      <c r="I288" t="str">
        <f>"92223390284"</f>
        <v>92223390284</v>
      </c>
      <c r="J288" t="str">
        <f>"23-AFFIDAMENTO DIRETTO"</f>
        <v>23-AFFIDAMENTO DIRETTO</v>
      </c>
      <c r="K288" t="str">
        <f>"05/08/2021"</f>
        <v>05/08/2021</v>
      </c>
      <c r="L288" t="str">
        <f>"27/10/2021"</f>
        <v>27/10/2021</v>
      </c>
      <c r="M288" t="str">
        <f>""</f>
        <v/>
      </c>
      <c r="N288" t="str">
        <f>"Autoricambi s.n.c. di Mardegan Paolo e Manfron Veronica Via A.Valerio 26-28 Piove di Sacco PD"</f>
        <v>Autoricambi s.n.c. di Mardegan Paolo e Manfron Veronica Via A.Valerio 26-28 Piove di Sacco PD</v>
      </c>
      <c r="O288" t="str">
        <f>"Autoricambi s.n.c. di Mardegan Paolo e Manfron Veronica Via A.Valerio 26-28 Piove di Sacco PD"</f>
        <v>Autoricambi s.n.c. di Mardegan Paolo e Manfron Veronica Via A.Valerio 26-28 Piove di Sacco PD</v>
      </c>
      <c r="P288" t="str">
        <f>"Z0E1ADF53C: [49.00€ ]"</f>
        <v>Z0E1ADF53C: [49.00€ ]</v>
      </c>
      <c r="Q288" t="str">
        <f>""</f>
        <v/>
      </c>
      <c r="R288" t="str">
        <f>""</f>
        <v/>
      </c>
      <c r="S288" t="str">
        <f>""</f>
        <v/>
      </c>
      <c r="T288" t="str">
        <f>"https://portaletrasparenza.consorziobacchiglione.it/dettagli/attodigara/655/fornitura-antigelo-impianti-frenanti-e-tappeti-in-gomma-grande-per-mezzi-con-targa-aj206bm-akd221.html"</f>
        <v>https://portaletrasparenza.consorziobacchiglione.it/dettagli/attodigara/655/fornitura-antigelo-impianti-frenanti-e-tappeti-in-gomma-grande-per-mezzi-con-targa-aj206bm-akd221.html</v>
      </c>
      <c r="U288" t="str">
        <f>""</f>
        <v/>
      </c>
      <c r="V28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89" spans="1:22" x14ac:dyDescent="0.3">
      <c r="A289" t="str">
        <f>"Affidamento"</f>
        <v>Affidamento</v>
      </c>
      <c r="B289" t="str">
        <f>"Noleggio miniescavatore cingolato 50/60 q per lavori Idrovora Vaso Cavaizze."</f>
        <v>Noleggio miniescavatore cingolato 50/60 q per lavori Idrovora Vaso Cavaizze.</v>
      </c>
      <c r="C289" t="str">
        <f>"Z8E1ADF375"</f>
        <v>Z8E1ADF375</v>
      </c>
      <c r="D289" t="str">
        <f>"04/11/2021"</f>
        <v>04/11/2021</v>
      </c>
      <c r="E289" t="str">
        <f>""</f>
        <v/>
      </c>
      <c r="F289" t="str">
        <f>""</f>
        <v/>
      </c>
      <c r="G289" t="str">
        <f>"750.00"</f>
        <v>750.00</v>
      </c>
      <c r="H289" t="str">
        <f>"Consorzio di bonifica Bacchiglione"</f>
        <v>Consorzio di bonifica Bacchiglione</v>
      </c>
      <c r="I289" t="str">
        <f>"92223390284"</f>
        <v>92223390284</v>
      </c>
      <c r="J289" t="str">
        <f>"23-AFFIDAMENTO DIRETTO"</f>
        <v>23-AFFIDAMENTO DIRETTO</v>
      </c>
      <c r="K289" t="str">
        <f>"05/08/2021"</f>
        <v>05/08/2021</v>
      </c>
      <c r="L289" t="str">
        <f>"06/09/2021"</f>
        <v>06/09/2021</v>
      </c>
      <c r="M289" t="str">
        <f>""</f>
        <v/>
      </c>
      <c r="N289" t="str">
        <f>"Sorme Noleggi s.a.s. Via Monache 21 35030 Selvazzano Dentro PD"</f>
        <v>Sorme Noleggi s.a.s. Via Monache 21 35030 Selvazzano Dentro PD</v>
      </c>
      <c r="O289" t="str">
        <f>"Sorme Noleggi s.a.s. Via Monache 21 35030 Selvazzano Dentro PD"</f>
        <v>Sorme Noleggi s.a.s. Via Monache 21 35030 Selvazzano Dentro PD</v>
      </c>
      <c r="P289" t="str">
        <f>"Z8E1ADF375: [750.00€ ]"</f>
        <v>Z8E1ADF375: [750.00€ ]</v>
      </c>
      <c r="Q289" t="str">
        <f>""</f>
        <v/>
      </c>
      <c r="R289" t="str">
        <f>""</f>
        <v/>
      </c>
      <c r="S289" t="str">
        <f>""</f>
        <v/>
      </c>
      <c r="T289" t="str">
        <f>"https://portaletrasparenza.consorziobacchiglione.it/dettagli/attodigara/653/noleggio-miniescavatore-cingolato-50-60-q-per-lavori-idrovora-vaso-cavaizze.html"</f>
        <v>https://portaletrasparenza.consorziobacchiglione.it/dettagli/attodigara/653/noleggio-miniescavatore-cingolato-50-60-q-per-lavori-idrovora-vaso-cavaizze.html</v>
      </c>
      <c r="U289" t="str">
        <f>""</f>
        <v/>
      </c>
      <c r="V2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90" spans="1:22" x14ac:dyDescent="0.3">
      <c r="A290" t="str">
        <f>"Affidamento"</f>
        <v>Affidamento</v>
      </c>
      <c r="B290" t="str">
        <f>"Spostamento condizionatore aula server sede Consorziale."</f>
        <v>Spostamento condizionatore aula server sede Consorziale.</v>
      </c>
      <c r="C290" t="str">
        <f>"Z031ADF43B"</f>
        <v>Z031ADF43B</v>
      </c>
      <c r="D290" t="str">
        <f>"04/11/2021"</f>
        <v>04/11/2021</v>
      </c>
      <c r="E290" t="str">
        <f>""</f>
        <v/>
      </c>
      <c r="F290" t="str">
        <f>""</f>
        <v/>
      </c>
      <c r="G290" t="str">
        <f>"933.61"</f>
        <v>933.61</v>
      </c>
      <c r="H290" t="str">
        <f>"Consorzio di bonifica Bacchiglione"</f>
        <v>Consorzio di bonifica Bacchiglione</v>
      </c>
      <c r="I290" t="str">
        <f>"92223390284"</f>
        <v>92223390284</v>
      </c>
      <c r="J290" t="str">
        <f>"23-AFFIDAMENTO DIRETTO"</f>
        <v>23-AFFIDAMENTO DIRETTO</v>
      </c>
      <c r="K290" t="str">
        <f>"05/08/2021"</f>
        <v>05/08/2021</v>
      </c>
      <c r="L290" t="str">
        <f>"28/11/2021"</f>
        <v>28/11/2021</v>
      </c>
      <c r="M290" t="str">
        <f>""</f>
        <v/>
      </c>
      <c r="N290" t="str">
        <f>"Giraldo Impianti SNC di Giraldo Danilo e Silvio Via Flli Cervi 1-II 30010 Campolongo Maggiore VE"</f>
        <v>Giraldo Impianti SNC di Giraldo Danilo e Silvio Via Flli Cervi 1-II 30010 Campolongo Maggiore VE</v>
      </c>
      <c r="O290" t="str">
        <f>"Giraldo Impianti SNC di Giraldo Danilo e Silvio Via Flli Cervi 1-II 30010 Campolongo Maggiore VE"</f>
        <v>Giraldo Impianti SNC di Giraldo Danilo e Silvio Via Flli Cervi 1-II 30010 Campolongo Maggiore VE</v>
      </c>
      <c r="P290" t="str">
        <f>"Z031ADF43B: [850.00€ ]"</f>
        <v>Z031ADF43B: [850.00€ ]</v>
      </c>
      <c r="Q290" t="str">
        <f>""</f>
        <v/>
      </c>
      <c r="R290" t="str">
        <f>""</f>
        <v/>
      </c>
      <c r="S290" t="str">
        <f>""</f>
        <v/>
      </c>
      <c r="T290" t="str">
        <f>"https://portaletrasparenza.consorziobacchiglione.it/dettagli/attodigara/654/spostamento-condizionatore-aula-server-sede-consorziale.html"</f>
        <v>https://portaletrasparenza.consorziobacchiglione.it/dettagli/attodigara/654/spostamento-condizionatore-aula-server-sede-consorziale.html</v>
      </c>
      <c r="U290" t="str">
        <f>""</f>
        <v/>
      </c>
      <c r="V290">
        <f>(SUBSTITUTE(Tabella1[[#This Row],[Importo di aggiudicazione]],".",","))-(SUBSTITUTE(  SUBSTITUTE(          SUBSTITUTE(Tabella1[[#This Row],[Dettaglio somme liquidate]],Tabella1[[#This Row],[CIG]]&amp;": [",""),"€ ]",""),".",","))</f>
        <v>83.610000000000014</v>
      </c>
    </row>
    <row r="291" spans="1:22" x14ac:dyDescent="0.3">
      <c r="A291" t="str">
        <f>"Affidamento"</f>
        <v>Affidamento</v>
      </c>
      <c r="B291" t="str">
        <f>"Manutenzione e riparazione mezzo con targa: DN881SC"</f>
        <v>Manutenzione e riparazione mezzo con targa: DN881SC</v>
      </c>
      <c r="C291" t="str">
        <f>"ZDE32B5F5A"</f>
        <v>ZDE32B5F5A</v>
      </c>
      <c r="D291" t="str">
        <f>"06/08/2021"</f>
        <v>06/08/2021</v>
      </c>
      <c r="E291" t="str">
        <f>""</f>
        <v/>
      </c>
      <c r="F291" t="str">
        <f>""</f>
        <v/>
      </c>
      <c r="G291" t="str">
        <f>"822.26"</f>
        <v>822.26</v>
      </c>
      <c r="H291" t="str">
        <f>"Consorzio di bonifica Bacchiglione"</f>
        <v>Consorzio di bonifica Bacchiglione</v>
      </c>
      <c r="I291" t="str">
        <f>"92223390284"</f>
        <v>92223390284</v>
      </c>
      <c r="J291" t="str">
        <f>"23-AFFIDAMENTO DIRETTO"</f>
        <v>23-AFFIDAMENTO DIRETTO</v>
      </c>
      <c r="K291" t="str">
        <f>"05/08/2021"</f>
        <v>05/08/2021</v>
      </c>
      <c r="L291" t="str">
        <f>"01/09/2021"</f>
        <v>01/09/2021</v>
      </c>
      <c r="M291" t="str">
        <f>""</f>
        <v/>
      </c>
      <c r="N291" t="str">
        <f>"Officina Autotreni Carraro Franco srl Via Gelsi 79 35028 Piove di Sacco PD"</f>
        <v>Officina Autotreni Carraro Franco srl Via Gelsi 79 35028 Piove di Sacco PD</v>
      </c>
      <c r="O291" t="str">
        <f>"Officina Autotreni Carraro Franco srl Via Gelsi 79 35028 Piove di Sacco PD"</f>
        <v>Officina Autotreni Carraro Franco srl Via Gelsi 79 35028 Piove di Sacco PD</v>
      </c>
      <c r="P291" t="str">
        <f>"ZDE32B5F5A: [822.26€ ]"</f>
        <v>ZDE32B5F5A: [822.26€ ]</v>
      </c>
      <c r="Q291" t="str">
        <f>""</f>
        <v/>
      </c>
      <c r="R291" t="str">
        <f>""</f>
        <v/>
      </c>
      <c r="S291" t="str">
        <f>""</f>
        <v/>
      </c>
      <c r="T291" t="str">
        <f>"https://portaletrasparenza.consorziobacchiglione.it/dettagli/attodigara/7062/manutenzione-e-riparazione-mezzo-con-targa-dn881sc.html"</f>
        <v>https://portaletrasparenza.consorziobacchiglione.it/dettagli/attodigara/7062/manutenzione-e-riparazione-mezzo-con-targa-dn881sc.html</v>
      </c>
      <c r="U291" t="str">
        <f>"https://portaletrasparenza.consorziobacchiglione.it/download/attodigara/7062/63ac45b428291.PDF"</f>
        <v>https://portaletrasparenza.consorziobacchiglione.it/download/attodigara/7062/63ac45b428291.PDF</v>
      </c>
      <c r="V2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92" spans="1:22" x14ac:dyDescent="0.3">
      <c r="A292" t="str">
        <f>"Affidamento"</f>
        <v>Affidamento</v>
      </c>
      <c r="B292" t="str">
        <f>"Manutenzione e riparazione motopompa Varisco MPJ6-250 presso Bacino Sesta Presa"</f>
        <v>Manutenzione e riparazione motopompa Varisco MPJ6-250 presso Bacino Sesta Presa</v>
      </c>
      <c r="C292" t="str">
        <f>"Z4432B5E0B"</f>
        <v>Z4432B5E0B</v>
      </c>
      <c r="D292" t="str">
        <f>"06/08/2021"</f>
        <v>06/08/2021</v>
      </c>
      <c r="E292" t="str">
        <f>""</f>
        <v/>
      </c>
      <c r="F292" t="str">
        <f>""</f>
        <v/>
      </c>
      <c r="G292" t="str">
        <f>"2121.30"</f>
        <v>2121.30</v>
      </c>
      <c r="H292" t="str">
        <f>"Consorzio di bonifica Bacchiglione"</f>
        <v>Consorzio di bonifica Bacchiglione</v>
      </c>
      <c r="I292" t="str">
        <f>"92223390284"</f>
        <v>92223390284</v>
      </c>
      <c r="J292" t="str">
        <f>"23-AFFIDAMENTO DIRETTO"</f>
        <v>23-AFFIDAMENTO DIRETTO</v>
      </c>
      <c r="K292" t="str">
        <f>"05/08/2021"</f>
        <v>05/08/2021</v>
      </c>
      <c r="L292" t="str">
        <f>"07/09/2021"</f>
        <v>07/09/2021</v>
      </c>
      <c r="M292" t="str">
        <f>""</f>
        <v/>
      </c>
      <c r="N292" t="str">
        <f>"Officina Biesse S.n.c. Via Matteotti 24 35020 Arzergrande PD"</f>
        <v>Officina Biesse S.n.c. Via Matteotti 24 35020 Arzergrande PD</v>
      </c>
      <c r="O292" t="str">
        <f>"Officina Biesse S.n.c. Via Matteotti 24 35020 Arzergrande PD"</f>
        <v>Officina Biesse S.n.c. Via Matteotti 24 35020 Arzergrande PD</v>
      </c>
      <c r="P292" t="str">
        <f>"Z4432B5E0B: [2121.30€ ]"</f>
        <v>Z4432B5E0B: [2121.30€ ]</v>
      </c>
      <c r="Q292" t="str">
        <f>""</f>
        <v/>
      </c>
      <c r="R292" t="str">
        <f>""</f>
        <v/>
      </c>
      <c r="S292" t="str">
        <f>""</f>
        <v/>
      </c>
      <c r="T292" t="str">
        <f>"https://portaletrasparenza.consorziobacchiglione.it/dettagli/attodigara/7061/manutenzione-e-riparazione-motopompa-varisco-mpj6-250-presso-bacino-sesta-presa.html"</f>
        <v>https://portaletrasparenza.consorziobacchiglione.it/dettagli/attodigara/7061/manutenzione-e-riparazione-motopompa-varisco-mpj6-250-presso-bacino-sesta-presa.html</v>
      </c>
      <c r="U292" t="str">
        <f>"https://portaletrasparenza.consorziobacchiglione.it/download/attodigara/7061/63ac45b3e3ae6.PDF"</f>
        <v>https://portaletrasparenza.consorziobacchiglione.it/download/attodigara/7061/63ac45b3e3ae6.PDF</v>
      </c>
      <c r="V29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93" spans="1:22" x14ac:dyDescent="0.3">
      <c r="A293" t="str">
        <f>"Affidamento"</f>
        <v>Affidamento</v>
      </c>
      <c r="B293" t="str">
        <f>"Manutenzione e riparazione mezzi targati: PDAH521, AKS681, motobarca n.1 e n.7"</f>
        <v>Manutenzione e riparazione mezzi targati: PDAH521, AKS681, motobarca n.1 e n.7</v>
      </c>
      <c r="C293" t="str">
        <f>"Z2A32B5BF0"</f>
        <v>Z2A32B5BF0</v>
      </c>
      <c r="D293" t="str">
        <f>"06/08/2021"</f>
        <v>06/08/2021</v>
      </c>
      <c r="E293" t="str">
        <f>""</f>
        <v/>
      </c>
      <c r="F293" t="str">
        <f>""</f>
        <v/>
      </c>
      <c r="G293" t="str">
        <f>"4777.90"</f>
        <v>4777.90</v>
      </c>
      <c r="H293" t="str">
        <f>"Consorzio di bonifica Bacchiglione"</f>
        <v>Consorzio di bonifica Bacchiglione</v>
      </c>
      <c r="I293" t="str">
        <f>"92223390284"</f>
        <v>92223390284</v>
      </c>
      <c r="J293" t="str">
        <f>"23-AFFIDAMENTO DIRETTO"</f>
        <v>23-AFFIDAMENTO DIRETTO</v>
      </c>
      <c r="K293" t="str">
        <f>"05/08/2021"</f>
        <v>05/08/2021</v>
      </c>
      <c r="L293" t="str">
        <f>"10/09/2021"</f>
        <v>10/09/2021</v>
      </c>
      <c r="M293" t="str">
        <f>""</f>
        <v/>
      </c>
      <c r="N293" t="str">
        <f>"Officina Biesse S.n.c. Via Matteotti 24 35020 Arzergrande PD"</f>
        <v>Officina Biesse S.n.c. Via Matteotti 24 35020 Arzergrande PD</v>
      </c>
      <c r="O293" t="str">
        <f>"Officina Biesse S.n.c. Via Matteotti 24 35020 Arzergrande PD"</f>
        <v>Officina Biesse S.n.c. Via Matteotti 24 35020 Arzergrande PD</v>
      </c>
      <c r="P293" t="str">
        <f>"Z2A32B5BF0: [4777.90€ ]"</f>
        <v>Z2A32B5BF0: [4777.90€ ]</v>
      </c>
      <c r="Q293" t="str">
        <f>""</f>
        <v/>
      </c>
      <c r="R293" t="str">
        <f>""</f>
        <v/>
      </c>
      <c r="S293" t="str">
        <f>""</f>
        <v/>
      </c>
      <c r="T293" t="str">
        <f>"https://portaletrasparenza.consorziobacchiglione.it/dettagli/attodigara/7060/manutenzione-e-riparazione-mezzi-targati-pdah521-aks681-motobarca-n-1-e-n-7.html"</f>
        <v>https://portaletrasparenza.consorziobacchiglione.it/dettagli/attodigara/7060/manutenzione-e-riparazione-mezzi-targati-pdah521-aks681-motobarca-n-1-e-n-7.html</v>
      </c>
      <c r="U293" t="str">
        <f>"https://portaletrasparenza.consorziobacchiglione.it/download/attodigara/7060/63ac45b3ab070.PDF"</f>
        <v>https://portaletrasparenza.consorziobacchiglione.it/download/attodigara/7060/63ac45b3ab070.PDF</v>
      </c>
      <c r="V2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94" spans="1:22" x14ac:dyDescent="0.3">
      <c r="A294" t="str">
        <f>"Affidamento"</f>
        <v>Affidamento</v>
      </c>
      <c r="B294" t="str">
        <f>"Integrazione per la connessione Rack server alla rete generale sede Consorziale."</f>
        <v>Integrazione per la connessione Rack server alla rete generale sede Consorziale.</v>
      </c>
      <c r="C294" t="str">
        <f>"Z051B1003E"</f>
        <v>Z051B1003E</v>
      </c>
      <c r="D294" t="str">
        <f>"04/11/2021"</f>
        <v>04/11/2021</v>
      </c>
      <c r="E294" t="str">
        <f>""</f>
        <v/>
      </c>
      <c r="F294" t="str">
        <f>""</f>
        <v/>
      </c>
      <c r="G294" t="str">
        <f>"376.00"</f>
        <v>376.00</v>
      </c>
      <c r="H294" t="str">
        <f>"Consorzio di bonifica Bacchiglione"</f>
        <v>Consorzio di bonifica Bacchiglione</v>
      </c>
      <c r="I294" t="str">
        <f>"92223390284"</f>
        <v>92223390284</v>
      </c>
      <c r="J294" t="str">
        <f>"23-AFFIDAMENTO DIRETTO"</f>
        <v>23-AFFIDAMENTO DIRETTO</v>
      </c>
      <c r="K294" t="str">
        <f>"05/09/2021"</f>
        <v>05/09/2021</v>
      </c>
      <c r="L294" t="str">
        <f>"14/10/2021"</f>
        <v>14/10/2021</v>
      </c>
      <c r="M294" t="str">
        <f>""</f>
        <v/>
      </c>
      <c r="N294" t="str">
        <f>"TPH Elettronica s.a.s. Via N. Pizzolo 51A 35132 Padova"</f>
        <v>TPH Elettronica s.a.s. Via N. Pizzolo 51A 35132 Padova</v>
      </c>
      <c r="O294" t="str">
        <f>"TPH Elettronica s.a.s. Via N. Pizzolo 51A 35132 Padova"</f>
        <v>TPH Elettronica s.a.s. Via N. Pizzolo 51A 35132 Padova</v>
      </c>
      <c r="P294" t="str">
        <f>"Z051B1003E: [376.00€ ]"</f>
        <v>Z051B1003E: [376.00€ ]</v>
      </c>
      <c r="Q294" t="str">
        <f>""</f>
        <v/>
      </c>
      <c r="R294" t="str">
        <f>""</f>
        <v/>
      </c>
      <c r="S294" t="str">
        <f>""</f>
        <v/>
      </c>
      <c r="T294" t="str">
        <f>"https://portaletrasparenza.consorziobacchiglione.it/dettagli/attodigara/714/integrazione-per-la-connessione-rack-server-alla-rete-generale-sede-consorziale.html"</f>
        <v>https://portaletrasparenza.consorziobacchiglione.it/dettagli/attodigara/714/integrazione-per-la-connessione-rack-server-alla-rete-generale-sede-consorziale.html</v>
      </c>
      <c r="U294" t="str">
        <f>""</f>
        <v/>
      </c>
      <c r="V29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95" spans="1:22" x14ac:dyDescent="0.3">
      <c r="A295" t="str">
        <f>"Affidamento"</f>
        <v>Affidamento</v>
      </c>
      <c r="B295" t="str">
        <f>"Acquisto, presso l'Agenzia delle Entrate - Ufficio Provinciale di Venezia - Territorio, dei dati censuari aggiornati (catasto terreni e fabbricati) dal 31/12/2015 al 01/08/2016"</f>
        <v>Acquisto, presso l'Agenzia delle Entrate - Ufficio Provinciale di Venezia - Territorio, dei dati censuari aggiornati (catasto terreni e fabbricati) dal 31/12/2015 al 01/08/2016</v>
      </c>
      <c r="C295" t="str">
        <f>"Z881B0FF46"</f>
        <v>Z881B0FF46</v>
      </c>
      <c r="D295" t="str">
        <f>"04/11/2021"</f>
        <v>04/11/2021</v>
      </c>
      <c r="E295" t="str">
        <f>""</f>
        <v/>
      </c>
      <c r="F295" t="str">
        <f>""</f>
        <v/>
      </c>
      <c r="G295" t="str">
        <f>"215.80"</f>
        <v>215.80</v>
      </c>
      <c r="H295" t="str">
        <f>"Consorzio di bonifica Bacchiglione"</f>
        <v>Consorzio di bonifica Bacchiglione</v>
      </c>
      <c r="I295" t="str">
        <f>"92223390284"</f>
        <v>92223390284</v>
      </c>
      <c r="J295" t="str">
        <f>"23-AFFIDAMENTO DIRETTO"</f>
        <v>23-AFFIDAMENTO DIRETTO</v>
      </c>
      <c r="K295" t="str">
        <f>"05/09/2021"</f>
        <v>05/09/2021</v>
      </c>
      <c r="L295" t="str">
        <f>"22/09/2021"</f>
        <v>22/09/2021</v>
      </c>
      <c r="M295" t="str">
        <f>""</f>
        <v/>
      </c>
      <c r="N295" t="str">
        <f>"AGENZIA DELLE ENTRATE"</f>
        <v>AGENZIA DELLE ENTRATE</v>
      </c>
      <c r="O295" t="str">
        <f>"AGENZIA DELLE ENTRATE"</f>
        <v>AGENZIA DELLE ENTRATE</v>
      </c>
      <c r="P295" t="str">
        <f>"Z881B0FF46: [0.00€ ]"</f>
        <v>Z881B0FF46: [0.00€ ]</v>
      </c>
      <c r="Q295" t="str">
        <f>""</f>
        <v/>
      </c>
      <c r="R295" t="str">
        <f>""</f>
        <v/>
      </c>
      <c r="S295" t="str">
        <f>""</f>
        <v/>
      </c>
      <c r="T295" t="str">
        <f>"https://portaletrasparenza.consorziobacchiglione.it/dettagli/attodigara/713/acquisto-presso-l-agenzia-delle-entrate-ufficio-provinciale-di-venezia-territorio-dei-dati-censuari-aggiornati-catasto-terreni-e-fabbricati-dal-31-12-2015-al-01-08-2016.html"</f>
        <v>https://portaletrasparenza.consorziobacchiglione.it/dettagli/attodigara/713/acquisto-presso-l-agenzia-delle-entrate-ufficio-provinciale-di-venezia-territorio-dei-dati-censuari-aggiornati-catasto-terreni-e-fabbricati-dal-31-12-2015-al-01-08-2016.html</v>
      </c>
      <c r="U295" t="str">
        <f>""</f>
        <v/>
      </c>
      <c r="V295">
        <f>(SUBSTITUTE(Tabella1[[#This Row],[Importo di aggiudicazione]],".",","))-(SUBSTITUTE(  SUBSTITUTE(          SUBSTITUTE(Tabella1[[#This Row],[Dettaglio somme liquidate]],Tabella1[[#This Row],[CIG]]&amp;": [",""),"€ ]",""),".",","))</f>
        <v>215.8</v>
      </c>
    </row>
    <row r="296" spans="1:22" x14ac:dyDescent="0.3">
      <c r="A296" t="str">
        <f>"Affidamento"</f>
        <v>Affidamento</v>
      </c>
      <c r="B296" t="str">
        <f>"Raccolta, trasporto e smaltimento rifiuti provenienti Idrovora Bernio , Trezze, Vallesella, Brondolo."</f>
        <v>Raccolta, trasporto e smaltimento rifiuti provenienti Idrovora Bernio , Trezze, Vallesella, Brondolo.</v>
      </c>
      <c r="C296" t="str">
        <f>"Z0B1B73151"</f>
        <v>Z0B1B73151</v>
      </c>
      <c r="D296" t="str">
        <f>"04/11/2021"</f>
        <v>04/11/2021</v>
      </c>
      <c r="E296" t="str">
        <f>""</f>
        <v/>
      </c>
      <c r="F296" t="str">
        <f>""</f>
        <v/>
      </c>
      <c r="G296" t="str">
        <f>"3258.22"</f>
        <v>3258.22</v>
      </c>
      <c r="H296" t="str">
        <f>"Consorzio di bonifica Bacchiglione"</f>
        <v>Consorzio di bonifica Bacchiglione</v>
      </c>
      <c r="I296" t="str">
        <f>"92223390284"</f>
        <v>92223390284</v>
      </c>
      <c r="J296" t="str">
        <f>"23-AFFIDAMENTO DIRETTO"</f>
        <v>23-AFFIDAMENTO DIRETTO</v>
      </c>
      <c r="K296" t="str">
        <f>"05/10/2021"</f>
        <v>05/10/2021</v>
      </c>
      <c r="L296" t="str">
        <f>"14/03/2021"</f>
        <v>14/03/2021</v>
      </c>
      <c r="M296" t="str">
        <f>""</f>
        <v/>
      </c>
      <c r="N296" t="str">
        <f>"VERITAS S.p.A. Sestiere Santa Croce 489 30135 Venezia"</f>
        <v>VERITAS S.p.A. Sestiere Santa Croce 489 30135 Venezia</v>
      </c>
      <c r="O296" t="str">
        <f>"VERITAS S.p.A. Sestiere Santa Croce 489 30135 Venezia"</f>
        <v>VERITAS S.p.A. Sestiere Santa Croce 489 30135 Venezia</v>
      </c>
      <c r="P296" t="s">
        <v>201</v>
      </c>
      <c r="Q296" t="str">
        <f>""</f>
        <v/>
      </c>
      <c r="R296" t="str">
        <f>""</f>
        <v/>
      </c>
      <c r="S296" t="str">
        <f>""</f>
        <v/>
      </c>
      <c r="T296" t="str">
        <f>"https://portaletrasparenza.consorziobacchiglione.it/dettagli/attodigara/798/raccolta-trasporto-e-smaltimento-rifiuti-provenienti-idrovora-bernio-trezze-vallesella-brondolo.html"</f>
        <v>https://portaletrasparenza.consorziobacchiglione.it/dettagli/attodigara/798/raccolta-trasporto-e-smaltimento-rifiuti-provenienti-idrovora-bernio-trezze-vallesella-brondolo.html</v>
      </c>
      <c r="U296" t="str">
        <f>""</f>
        <v/>
      </c>
      <c r="V29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97" spans="1:22" x14ac:dyDescent="0.3">
      <c r="A297" t="str">
        <f>"Affidamento"</f>
        <v>Affidamento</v>
      </c>
      <c r="B297" t="str">
        <f>"Acquisto nuovo miniescavatore cingolato 15 q."</f>
        <v>Acquisto nuovo miniescavatore cingolato 15 q.</v>
      </c>
      <c r="C297" t="str">
        <f>"Z251B74512"</f>
        <v>Z251B74512</v>
      </c>
      <c r="D297" t="str">
        <f>"04/11/2021"</f>
        <v>04/11/2021</v>
      </c>
      <c r="E297" t="str">
        <f>""</f>
        <v/>
      </c>
      <c r="F297" t="str">
        <f>""</f>
        <v/>
      </c>
      <c r="G297" t="str">
        <f>"19200.00"</f>
        <v>19200.00</v>
      </c>
      <c r="H297" t="str">
        <f>"Consorzio di bonifica Bacchiglione"</f>
        <v>Consorzio di bonifica Bacchiglione</v>
      </c>
      <c r="I297" t="str">
        <f>"92223390284"</f>
        <v>92223390284</v>
      </c>
      <c r="J297" t="str">
        <f>"23-AFFIDAMENTO DIRETTO"</f>
        <v>23-AFFIDAMENTO DIRETTO</v>
      </c>
      <c r="K297" t="str">
        <f>"05/10/2021"</f>
        <v>05/10/2021</v>
      </c>
      <c r="L297" t="str">
        <f>"30/11/2021"</f>
        <v>30/11/2021</v>
      </c>
      <c r="M297" t="str">
        <f>""</f>
        <v/>
      </c>
      <c r="N297" t="str">
        <f>"Adriatica Commerciale Macchine s.r.l. Via dell'Artigianato 5 35020 Due Carrare PD | Sorme s.n.c. Via Monache 21 35030 Selvazzano Dentro PD | Sofim Spa via Strada Statale 56 km 7 33040 Pradamano UD"</f>
        <v>Adriatica Commerciale Macchine s.r.l. Via dell'Artigianato 5 35020 Due Carrare PD | Sorme s.n.c. Via Monache 21 35030 Selvazzano Dentro PD | Sofim Spa via Strada Statale 56 km 7 33040 Pradamano UD</v>
      </c>
      <c r="O297" t="str">
        <f>"Sofim Spa via Strada Statale 56 km 7 33040 Pradamano UD"</f>
        <v>Sofim Spa via Strada Statale 56 km 7 33040 Pradamano UD</v>
      </c>
      <c r="P297" t="str">
        <f>"Z251B74512: [19200.00€ ]"</f>
        <v>Z251B74512: [19200.00€ ]</v>
      </c>
      <c r="Q297" t="str">
        <f>""</f>
        <v/>
      </c>
      <c r="R297" t="str">
        <f>""</f>
        <v/>
      </c>
      <c r="S297" t="str">
        <f>""</f>
        <v/>
      </c>
      <c r="T297" t="str">
        <f>"https://portaletrasparenza.consorziobacchiglione.it/dettagli/attodigara/799/acquisto-nuovo-miniescavatore-cingolato-15-q.html"</f>
        <v>https://portaletrasparenza.consorziobacchiglione.it/dettagli/attodigara/799/acquisto-nuovo-miniescavatore-cingolato-15-q.html</v>
      </c>
      <c r="U297" t="str">
        <f>""</f>
        <v/>
      </c>
      <c r="V2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98" spans="1:22" x14ac:dyDescent="0.3">
      <c r="A298" t="str">
        <f>"Affidamento"</f>
        <v>Affidamento</v>
      </c>
      <c r="B298" t="str">
        <f>"Riparazione e manutenzione mezzo con targa: EW930NS"</f>
        <v>Riparazione e manutenzione mezzo con targa: EW930NS</v>
      </c>
      <c r="C298" t="str">
        <f>"Z54334EEAA"</f>
        <v>Z54334EEAA</v>
      </c>
      <c r="D298" t="str">
        <f>"05/10/2021"</f>
        <v>05/10/2021</v>
      </c>
      <c r="E298" t="str">
        <f>""</f>
        <v/>
      </c>
      <c r="F298" t="str">
        <f>""</f>
        <v/>
      </c>
      <c r="G298" t="str">
        <f>"5498.73"</f>
        <v>5498.73</v>
      </c>
      <c r="H298" t="str">
        <f>"Consorzio di bonifica Bacchiglione"</f>
        <v>Consorzio di bonifica Bacchiglione</v>
      </c>
      <c r="I298" t="str">
        <f>"92223390284"</f>
        <v>92223390284</v>
      </c>
      <c r="J298" t="str">
        <f>"23-AFFIDAMENTO DIRETTO"</f>
        <v>23-AFFIDAMENTO DIRETTO</v>
      </c>
      <c r="K298" t="str">
        <f>"05/10/2021"</f>
        <v>05/10/2021</v>
      </c>
      <c r="L298" t="str">
        <f>"31/10/2021"</f>
        <v>31/10/2021</v>
      </c>
      <c r="M298" t="str">
        <f>""</f>
        <v/>
      </c>
      <c r="N298" t="str">
        <f>"Autoriparazioni Ravazzolo s.r.l. Via Roma 259a 35030 Montemerlo di Cervarese Santa Croce PD"</f>
        <v>Autoriparazioni Ravazzolo s.r.l. Via Roma 259a 35030 Montemerlo di Cervarese Santa Croce PD</v>
      </c>
      <c r="O298" t="str">
        <f>"Autoriparazioni Ravazzolo s.r.l. Via Roma 259a 35030 Montemerlo di Cervarese Santa Croce PD"</f>
        <v>Autoriparazioni Ravazzolo s.r.l. Via Roma 259a 35030 Montemerlo di Cervarese Santa Croce PD</v>
      </c>
      <c r="P298" t="s">
        <v>183</v>
      </c>
      <c r="Q298" t="str">
        <f>""</f>
        <v/>
      </c>
      <c r="R298" t="str">
        <f>""</f>
        <v/>
      </c>
      <c r="S298" t="str">
        <f>""</f>
        <v/>
      </c>
      <c r="T298" t="str">
        <f>"https://portaletrasparenza.consorziobacchiglione.it/dettagli/attodigara/7194/riparazione-e-manutenzione-mezzo-con-targa-ew930ns.html"</f>
        <v>https://portaletrasparenza.consorziobacchiglione.it/dettagli/attodigara/7194/riparazione-e-manutenzione-mezzo-con-targa-ew930ns.html</v>
      </c>
      <c r="U298" t="str">
        <f>"https://portaletrasparenza.consorziobacchiglione.it/download/attodigara/7194/63ac45d586a6e.PDF"</f>
        <v>https://portaletrasparenza.consorziobacchiglione.it/download/attodigara/7194/63ac45d586a6e.PDF</v>
      </c>
      <c r="V2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299" spans="1:22" x14ac:dyDescent="0.3">
      <c r="A299" t="str">
        <f>"Affidamento"</f>
        <v>Affidamento</v>
      </c>
      <c r="B299" t="str">
        <f>"Sostituzione n.4 pneumatici su mezzo targato: FF284VN"</f>
        <v>Sostituzione n.4 pneumatici su mezzo targato: FF284VN</v>
      </c>
      <c r="C299" t="str">
        <f>"ZDB334ECD0"</f>
        <v>ZDB334ECD0</v>
      </c>
      <c r="D299" t="str">
        <f>"05/10/2021"</f>
        <v>05/10/2021</v>
      </c>
      <c r="E299" t="str">
        <f>""</f>
        <v/>
      </c>
      <c r="F299" t="str">
        <f>""</f>
        <v/>
      </c>
      <c r="G299" t="str">
        <f>"405.80"</f>
        <v>405.80</v>
      </c>
      <c r="H299" t="str">
        <f>"Consorzio di bonifica Bacchiglione"</f>
        <v>Consorzio di bonifica Bacchiglione</v>
      </c>
      <c r="I299" t="str">
        <f>"92223390284"</f>
        <v>92223390284</v>
      </c>
      <c r="J299" t="str">
        <f>"23-AFFIDAMENTO DIRETTO"</f>
        <v>23-AFFIDAMENTO DIRETTO</v>
      </c>
      <c r="K299" t="str">
        <f>"05/10/2021"</f>
        <v>05/10/2021</v>
      </c>
      <c r="L299" t="str">
        <f>"31/10/2021"</f>
        <v>31/10/2021</v>
      </c>
      <c r="M299" t="str">
        <f>""</f>
        <v/>
      </c>
      <c r="N299" t="str">
        <f>"Ri.gom.ma S.R.L. Via Orlando, 47 - 30173 Campalto (VE)"</f>
        <v>Ri.gom.ma S.R.L. Via Orlando, 47 - 30173 Campalto (VE)</v>
      </c>
      <c r="O299" t="str">
        <f>"Ri.gom.ma S.R.L. Via Orlando, 47 - 30173 Campalto (VE)"</f>
        <v>Ri.gom.ma S.R.L. Via Orlando, 47 - 30173 Campalto (VE)</v>
      </c>
      <c r="P299" t="s">
        <v>276</v>
      </c>
      <c r="Q299" t="str">
        <f>""</f>
        <v/>
      </c>
      <c r="R299" t="str">
        <f>""</f>
        <v/>
      </c>
      <c r="S299" t="str">
        <f>""</f>
        <v/>
      </c>
      <c r="T299" t="str">
        <f>"https://portaletrasparenza.consorziobacchiglione.it/dettagli/attodigara/7193/sostituzione-n-4-pneumatici-su-mezzo-targato-ff284vn.html"</f>
        <v>https://portaletrasparenza.consorziobacchiglione.it/dettagli/attodigara/7193/sostituzione-n-4-pneumatici-su-mezzo-targato-ff284vn.html</v>
      </c>
      <c r="U299" t="str">
        <f>"https://portaletrasparenza.consorziobacchiglione.it/download/attodigara/7193/63ac45d54dda9.PDF"</f>
        <v>https://portaletrasparenza.consorziobacchiglione.it/download/attodigara/7193/63ac45d54dda9.PDF</v>
      </c>
      <c r="V2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00" spans="1:22" x14ac:dyDescent="0.3">
      <c r="A300" t="str">
        <f>"Affidamento"</f>
        <v>Affidamento</v>
      </c>
      <c r="B300" t="str">
        <f>"Riparazione decespugliatore FS260R (N.4)"</f>
        <v>Riparazione decespugliatore FS260R (N.4)</v>
      </c>
      <c r="C300" t="str">
        <f>"ZED334FA7D"</f>
        <v>ZED334FA7D</v>
      </c>
      <c r="D300" t="str">
        <f>"05/10/2021"</f>
        <v>05/10/2021</v>
      </c>
      <c r="E300" t="str">
        <f>""</f>
        <v/>
      </c>
      <c r="F300" t="str">
        <f>""</f>
        <v/>
      </c>
      <c r="G300" t="str">
        <f>"32.79"</f>
        <v>32.79</v>
      </c>
      <c r="H300" t="str">
        <f>"Consorzio di bonifica Bacchiglione"</f>
        <v>Consorzio di bonifica Bacchiglione</v>
      </c>
      <c r="I300" t="str">
        <f>"92223390284"</f>
        <v>92223390284</v>
      </c>
      <c r="J300" t="str">
        <f>"23-AFFIDAMENTO DIRETTO"</f>
        <v>23-AFFIDAMENTO DIRETTO</v>
      </c>
      <c r="K300" t="str">
        <f>"05/10/2021"</f>
        <v>05/10/2021</v>
      </c>
      <c r="L300" t="str">
        <f>"23/11/2021"</f>
        <v>23/11/2021</v>
      </c>
      <c r="M300" t="str">
        <f>""</f>
        <v/>
      </c>
      <c r="N300" t="str">
        <f>"Mini Motor di Vettorato Gabriele Via Puccini 3 35020 Brugine PD"</f>
        <v>Mini Motor di Vettorato Gabriele Via Puccini 3 35020 Brugine PD</v>
      </c>
      <c r="O300" t="str">
        <f>"Mini Motor di Vettorato Gabriele Via Puccini 3 35020 Brugine PD"</f>
        <v>Mini Motor di Vettorato Gabriele Via Puccini 3 35020 Brugine PD</v>
      </c>
      <c r="P300" t="str">
        <f>"ZED334FA7D: [32.79€ ]"</f>
        <v>ZED334FA7D: [32.79€ ]</v>
      </c>
      <c r="Q300" t="str">
        <f>""</f>
        <v/>
      </c>
      <c r="R300" t="str">
        <f>""</f>
        <v/>
      </c>
      <c r="S300" t="str">
        <f>""</f>
        <v/>
      </c>
      <c r="T300" t="str">
        <f>"https://portaletrasparenza.consorziobacchiglione.it/dettagli/attodigara/7196/riparazione-decespugliatore-fs260r-n-4.html"</f>
        <v>https://portaletrasparenza.consorziobacchiglione.it/dettagli/attodigara/7196/riparazione-decespugliatore-fs260r-n-4.html</v>
      </c>
      <c r="U300" t="str">
        <f>"https://portaletrasparenza.consorziobacchiglione.it/download/attodigara/7196/63ac45d5c0380.PDF"</f>
        <v>https://portaletrasparenza.consorziobacchiglione.it/download/attodigara/7196/63ac45d5c0380.PDF</v>
      </c>
      <c r="V3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01" spans="1:22" x14ac:dyDescent="0.3">
      <c r="A301" t="str">
        <f>"Affidamento"</f>
        <v>Affidamento</v>
      </c>
      <c r="B301" t="str">
        <f>"Manutenzione e riparazione cingolato 904"</f>
        <v>Manutenzione e riparazione cingolato 904</v>
      </c>
      <c r="C301" t="str">
        <f>"ZC2334F0DC"</f>
        <v>ZC2334F0DC</v>
      </c>
      <c r="D301" t="str">
        <f>"05/10/2021"</f>
        <v>05/10/2021</v>
      </c>
      <c r="E301" t="str">
        <f>""</f>
        <v/>
      </c>
      <c r="F301" t="str">
        <f>""</f>
        <v/>
      </c>
      <c r="G301" t="str">
        <f>"1243.44"</f>
        <v>1243.44</v>
      </c>
      <c r="H301" t="str">
        <f>"Consorzio di bonifica Bacchiglione"</f>
        <v>Consorzio di bonifica Bacchiglione</v>
      </c>
      <c r="I301" t="str">
        <f>"92223390284"</f>
        <v>92223390284</v>
      </c>
      <c r="J301" t="str">
        <f>"23-AFFIDAMENTO DIRETTO"</f>
        <v>23-AFFIDAMENTO DIRETTO</v>
      </c>
      <c r="K301" t="str">
        <f>"05/10/2021"</f>
        <v>05/10/2021</v>
      </c>
      <c r="L301" t="str">
        <f>"31/12/2021"</f>
        <v>31/12/2021</v>
      </c>
      <c r="M301" t="str">
        <f>""</f>
        <v/>
      </c>
      <c r="N301" t="str">
        <f>"Adriatica Commerciale Macchine s.r.l. Via dell'Artigianato 5 35020 Due Carrare PD"</f>
        <v>Adriatica Commerciale Macchine s.r.l. Via dell'Artigianato 5 35020 Due Carrare PD</v>
      </c>
      <c r="O301" t="str">
        <f>"Adriatica Commerciale Macchine s.r.l. Via dell'Artigianato 5 35020 Due Carrare PD"</f>
        <v>Adriatica Commerciale Macchine s.r.l. Via dell'Artigianato 5 35020 Due Carrare PD</v>
      </c>
      <c r="P301" t="str">
        <f>"ZC2334F0DC: [0.00€ ]"</f>
        <v>ZC2334F0DC: [0.00€ ]</v>
      </c>
      <c r="Q301" t="str">
        <f>""</f>
        <v/>
      </c>
      <c r="R301" t="str">
        <f>""</f>
        <v/>
      </c>
      <c r="S301" t="str">
        <f>""</f>
        <v/>
      </c>
      <c r="T301" t="str">
        <f>"https://portaletrasparenza.consorziobacchiglione.it/dettagli/attodigara/7195/manutenzione-e-riparazione-cingolato-904.html"</f>
        <v>https://portaletrasparenza.consorziobacchiglione.it/dettagli/attodigara/7195/manutenzione-e-riparazione-cingolato-904.html</v>
      </c>
      <c r="U301" t="str">
        <f>"https://portaletrasparenza.consorziobacchiglione.it/download/attodigara/7195/62a20a9890441.PDF"</f>
        <v>https://portaletrasparenza.consorziobacchiglione.it/download/attodigara/7195/62a20a9890441.PDF</v>
      </c>
      <c r="V301">
        <f>(SUBSTITUTE(Tabella1[[#This Row],[Importo di aggiudicazione]],".",","))-(SUBSTITUTE(  SUBSTITUTE(          SUBSTITUTE(Tabella1[[#This Row],[Dettaglio somme liquidate]],Tabella1[[#This Row],[CIG]]&amp;": [",""),"€ ]",""),".",","))</f>
        <v>1243.44</v>
      </c>
    </row>
    <row r="302" spans="1:22" x14ac:dyDescent="0.3">
      <c r="A302" t="str">
        <f>"Affidamento"</f>
        <v>Affidamento</v>
      </c>
      <c r="B302" t="str">
        <f>"Fornitura materiale elettrico per vari Impianti"</f>
        <v>Fornitura materiale elettrico per vari Impianti</v>
      </c>
      <c r="C302" t="str">
        <f>"ZEB33507AD"</f>
        <v>ZEB33507AD</v>
      </c>
      <c r="D302" t="str">
        <f>"07/10/2021"</f>
        <v>07/10/2021</v>
      </c>
      <c r="E302" t="str">
        <f>""</f>
        <v/>
      </c>
      <c r="F302" t="str">
        <f>""</f>
        <v/>
      </c>
      <c r="G302" t="str">
        <f>"996.77"</f>
        <v>996.77</v>
      </c>
      <c r="H302" t="str">
        <f>"Consorzio di bonifica Bacchiglione"</f>
        <v>Consorzio di bonifica Bacchiglione</v>
      </c>
      <c r="I302" t="str">
        <f>"92223390284"</f>
        <v>92223390284</v>
      </c>
      <c r="J302" t="str">
        <f>"23-AFFIDAMENTO DIRETTO"</f>
        <v>23-AFFIDAMENTO DIRETTO</v>
      </c>
      <c r="K302" t="str">
        <f>"05/10/2021"</f>
        <v>05/10/2021</v>
      </c>
      <c r="L302" t="str">
        <f>"30/11/2021"</f>
        <v>30/11/2021</v>
      </c>
      <c r="M302" t="str">
        <f>""</f>
        <v/>
      </c>
      <c r="N302" t="str">
        <f>"Elettroveneta S.p.A. Viale della Navigazione Interna, 48 - 35129 Padova (PD)"</f>
        <v>Elettroveneta S.p.A. Viale della Navigazione Interna, 48 - 35129 Padova (PD)</v>
      </c>
      <c r="O302" t="str">
        <f>"Elettroveneta S.p.A. Viale della Navigazione Interna, 48 - 35129 Padova (PD)"</f>
        <v>Elettroveneta S.p.A. Viale della Navigazione Interna, 48 - 35129 Padova (PD)</v>
      </c>
      <c r="P302" t="s">
        <v>241</v>
      </c>
      <c r="Q302" t="str">
        <f>""</f>
        <v/>
      </c>
      <c r="R302" t="str">
        <f>""</f>
        <v/>
      </c>
      <c r="S302" t="str">
        <f>""</f>
        <v/>
      </c>
      <c r="T302" t="str">
        <f>"https://portaletrasparenza.consorziobacchiglione.it/dettagli/attodigara/7198/fornitura-materiale-elettrico-per-vari-impianti.html"</f>
        <v>https://portaletrasparenza.consorziobacchiglione.it/dettagli/attodigara/7198/fornitura-materiale-elettrico-per-vari-impianti.html</v>
      </c>
      <c r="U302" t="str">
        <f>"https://portaletrasparenza.consorziobacchiglione.it/download/attodigara/7198/63ac45d63e39f.PDF"</f>
        <v>https://portaletrasparenza.consorziobacchiglione.it/download/attodigara/7198/63ac45d63e39f.PDF</v>
      </c>
      <c r="V3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03" spans="1:22" x14ac:dyDescent="0.3">
      <c r="A303" t="str">
        <f>"Affidamento"</f>
        <v>Affidamento</v>
      </c>
      <c r="B303" t="str">
        <f>"Fornitura di nuova chiavica in cls per la sistemazione della paratoia di scarico su scolo Cavaizza di Codevigo Nord a seguito del cedimento della sponda e del manufatto esistente."</f>
        <v>Fornitura di nuova chiavica in cls per la sistemazione della paratoia di scarico su scolo Cavaizza di Codevigo Nord a seguito del cedimento della sponda e del manufatto esistente.</v>
      </c>
      <c r="C303" t="str">
        <f>"Z673350474"</f>
        <v>Z673350474</v>
      </c>
      <c r="D303" t="str">
        <f>"07/10/2021"</f>
        <v>07/10/2021</v>
      </c>
      <c r="E303" t="str">
        <f>""</f>
        <v/>
      </c>
      <c r="F303" t="str">
        <f>""</f>
        <v/>
      </c>
      <c r="G303" t="str">
        <f>"900.00"</f>
        <v>900.00</v>
      </c>
      <c r="H303" t="str">
        <f>"Consorzio di bonifica Bacchiglione"</f>
        <v>Consorzio di bonifica Bacchiglione</v>
      </c>
      <c r="I303" t="str">
        <f>"92223390284"</f>
        <v>92223390284</v>
      </c>
      <c r="J303" t="str">
        <f>"23-AFFIDAMENTO DIRETTO"</f>
        <v>23-AFFIDAMENTO DIRETTO</v>
      </c>
      <c r="K303" t="str">
        <f>"05/10/2021"</f>
        <v>05/10/2021</v>
      </c>
      <c r="L303" t="str">
        <f>"19/10/2021"</f>
        <v>19/10/2021</v>
      </c>
      <c r="M303" t="str">
        <f>""</f>
        <v/>
      </c>
      <c r="N303" t="str">
        <f>"Costruzioni Edili e Prefabbricate Franzin Fioravante Via Gonelle, 28 - 31040 Cessalto (TV)"</f>
        <v>Costruzioni Edili e Prefabbricate Franzin Fioravante Via Gonelle, 28 - 31040 Cessalto (TV)</v>
      </c>
      <c r="O303" t="str">
        <f>"Costruzioni Edili e Prefabbricate Franzin Fioravante Via Gonelle, 28 - 31040 Cessalto (TV)"</f>
        <v>Costruzioni Edili e Prefabbricate Franzin Fioravante Via Gonelle, 28 - 31040 Cessalto (TV)</v>
      </c>
      <c r="P303" t="s">
        <v>243</v>
      </c>
      <c r="Q303" t="str">
        <f>""</f>
        <v/>
      </c>
      <c r="R303" t="str">
        <f>""</f>
        <v/>
      </c>
      <c r="S303" t="str">
        <f>""</f>
        <v/>
      </c>
      <c r="T303" t="s">
        <v>79</v>
      </c>
      <c r="U303" t="str">
        <f>"https://portaletrasparenza.consorziobacchiglione.it/download/attodigara/7197/63ac45d6057fa.PDF"</f>
        <v>https://portaletrasparenza.consorziobacchiglione.it/download/attodigara/7197/63ac45d6057fa.PDF</v>
      </c>
      <c r="V3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04" spans="1:22" x14ac:dyDescent="0.3">
      <c r="A304" t="str">
        <f>"Affidamento"</f>
        <v>Affidamento</v>
      </c>
      <c r="B304" t="str">
        <f>"Pulizia area e taglio piante in sinistra idraulica dello scolo Limenella, a valle di via Tevere, in comune di Padova"</f>
        <v>Pulizia area e taglio piante in sinistra idraulica dello scolo Limenella, a valle di via Tevere, in comune di Padova</v>
      </c>
      <c r="C304" t="str">
        <f>"Z3333C328B"</f>
        <v>Z3333C328B</v>
      </c>
      <c r="D304" t="str">
        <f>"08/11/2021"</f>
        <v>08/11/2021</v>
      </c>
      <c r="E304" t="str">
        <f>""</f>
        <v/>
      </c>
      <c r="F304" t="str">
        <f>""</f>
        <v/>
      </c>
      <c r="G304" t="str">
        <f>"8404.75"</f>
        <v>8404.75</v>
      </c>
      <c r="H304" t="str">
        <f>"Consorzio di bonifica Bacchiglione"</f>
        <v>Consorzio di bonifica Bacchiglione</v>
      </c>
      <c r="I304" t="str">
        <f>"92223390284"</f>
        <v>92223390284</v>
      </c>
      <c r="J304" t="str">
        <f>"23-AFFIDAMENTO DIRETTO"</f>
        <v>23-AFFIDAMENTO DIRETTO</v>
      </c>
      <c r="K304" t="str">
        <f>"05/11/2021"</f>
        <v>05/11/2021</v>
      </c>
      <c r="L304" t="str">
        <f>"10/01/2022"</f>
        <v>10/01/2022</v>
      </c>
      <c r="M304" t="str">
        <f>""</f>
        <v/>
      </c>
      <c r="N304" t="str">
        <f>"Zanella Andrea Via quattrocà 9 35010 Vigonza PD | Cooperativa Sociale Idee Verdi s.r.l. Via Puccini, 49A 35031 Abano Terme (PD) | Vivai Berti SAS di Berti Claudio E C. Via S. Martino, 46, 35030 Cervarese Santa Croce (PD)"</f>
        <v>Zanella Andrea Via quattrocà 9 35010 Vigonza PD | Cooperativa Sociale Idee Verdi s.r.l. Via Puccini, 49A 35031 Abano Terme (PD) | Vivai Berti SAS di Berti Claudio E C. Via S. Martino, 46, 35030 Cervarese Santa Croce (PD)</v>
      </c>
      <c r="O304" t="str">
        <f>"Cooperativa Sociale Idee Verdi s.r.l. Via Puccini, 49A 35031 Abano Terme (PD)"</f>
        <v>Cooperativa Sociale Idee Verdi s.r.l. Via Puccini, 49A 35031 Abano Terme (PD)</v>
      </c>
      <c r="P304" t="str">
        <f>"Z3333C328B: [8404.75€ ]"</f>
        <v>Z3333C328B: [8404.75€ ]</v>
      </c>
      <c r="Q304" t="str">
        <f>""</f>
        <v/>
      </c>
      <c r="R304" t="str">
        <f>""</f>
        <v/>
      </c>
      <c r="S304" t="str">
        <f>""</f>
        <v/>
      </c>
      <c r="T304" t="str">
        <f>"https://portaletrasparenza.consorziobacchiglione.it/dettagli/attodigara/7262/pulizia-area-e-taglio-piante-in-sinistra-idraulica-dello-scolo-limenella-a-valle-di-via-tevere-in-comune-di-padova.html"</f>
        <v>https://portaletrasparenza.consorziobacchiglione.it/dettagli/attodigara/7262/pulizia-area-e-taglio-piante-in-sinistra-idraulica-dello-scolo-limenella-a-valle-di-via-tevere-in-comune-di-padova.html</v>
      </c>
      <c r="U304" t="str">
        <f>"https://portaletrasparenza.consorziobacchiglione.it/download/attodigara/7262/63ac45e5ab8e6.PDF"</f>
        <v>https://portaletrasparenza.consorziobacchiglione.it/download/attodigara/7262/63ac45e5ab8e6.PDF</v>
      </c>
      <c r="V3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05" spans="1:22" x14ac:dyDescent="0.3">
      <c r="A305" t="str">
        <f>"Affidamento"</f>
        <v>Affidamento</v>
      </c>
      <c r="B305" t="str">
        <f>"Fornitura materiale di ferramenta per Bacino Sesta Presa"</f>
        <v>Fornitura materiale di ferramenta per Bacino Sesta Presa</v>
      </c>
      <c r="C305" t="str">
        <f>"Z2B1C5DA5A"</f>
        <v>Z2B1C5DA5A</v>
      </c>
      <c r="D305" t="str">
        <f>"04/11/2021"</f>
        <v>04/11/2021</v>
      </c>
      <c r="E305" t="str">
        <f>""</f>
        <v/>
      </c>
      <c r="F305" t="str">
        <f>""</f>
        <v/>
      </c>
      <c r="G305" t="str">
        <f>"133.57"</f>
        <v>133.57</v>
      </c>
      <c r="H305" t="str">
        <f>"Consorzio di bonifica Bacchiglione"</f>
        <v>Consorzio di bonifica Bacchiglione</v>
      </c>
      <c r="I305" t="str">
        <f>"92223390284"</f>
        <v>92223390284</v>
      </c>
      <c r="J305" t="str">
        <f>"23-AFFIDAMENTO DIRETTO"</f>
        <v>23-AFFIDAMENTO DIRETTO</v>
      </c>
      <c r="K305" t="str">
        <f>"05/12/2021"</f>
        <v>05/12/2021</v>
      </c>
      <c r="L305" t="str">
        <f>"31/12/2021"</f>
        <v>31/12/2021</v>
      </c>
      <c r="M305" t="str">
        <f>""</f>
        <v/>
      </c>
      <c r="N305" t="str">
        <f>"Gollo Giovanni Via Vallona 65 35020 Conche di Codevigo PD"</f>
        <v>Gollo Giovanni Via Vallona 65 35020 Conche di Codevigo PD</v>
      </c>
      <c r="O305" t="str">
        <f>"Gollo Giovanni Via Vallona 65 35020 Conche di Codevigo PD"</f>
        <v>Gollo Giovanni Via Vallona 65 35020 Conche di Codevigo PD</v>
      </c>
      <c r="P305" t="s">
        <v>339</v>
      </c>
      <c r="Q305" t="str">
        <f>""</f>
        <v/>
      </c>
      <c r="R305" t="str">
        <f>""</f>
        <v/>
      </c>
      <c r="S305" t="str">
        <f>""</f>
        <v/>
      </c>
      <c r="T305" t="str">
        <f>"https://portaletrasparenza.consorziobacchiglione.it/dettagli/attodigara/970/fornitura-materiale-di-ferramenta-per-bacino-sesta-presa.html"</f>
        <v>https://portaletrasparenza.consorziobacchiglione.it/dettagli/attodigara/970/fornitura-materiale-di-ferramenta-per-bacino-sesta-presa.html</v>
      </c>
      <c r="U305" t="str">
        <f>""</f>
        <v/>
      </c>
      <c r="V30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06" spans="1:22" x14ac:dyDescent="0.3">
      <c r="A306" t="str">
        <f>"Affidamento"</f>
        <v>Affidamento</v>
      </c>
      <c r="B306" t="str">
        <f>"Sostituzione pompa e corpo pompa caldaia museo C.O.S.Margherita."</f>
        <v>Sostituzione pompa e corpo pompa caldaia museo C.O.S.Margherita.</v>
      </c>
      <c r="C306" t="str">
        <f>"Z2C1C5B076"</f>
        <v>Z2C1C5B076</v>
      </c>
      <c r="D306" t="str">
        <f>"04/11/2021"</f>
        <v>04/11/2021</v>
      </c>
      <c r="E306" t="str">
        <f>""</f>
        <v/>
      </c>
      <c r="F306" t="str">
        <f>""</f>
        <v/>
      </c>
      <c r="G306" t="str">
        <f>"285.00"</f>
        <v>285.00</v>
      </c>
      <c r="H306" t="str">
        <f>"Consorzio di bonifica Bacchiglione"</f>
        <v>Consorzio di bonifica Bacchiglione</v>
      </c>
      <c r="I306" t="str">
        <f>"92223390284"</f>
        <v>92223390284</v>
      </c>
      <c r="J306" t="str">
        <f>"23-AFFIDAMENTO DIRETTO"</f>
        <v>23-AFFIDAMENTO DIRETTO</v>
      </c>
      <c r="K306" t="str">
        <f>"05/12/2021"</f>
        <v>05/12/2021</v>
      </c>
      <c r="L306" t="str">
        <f>"29/12/2021"</f>
        <v>29/12/2021</v>
      </c>
      <c r="M306" t="str">
        <f>""</f>
        <v/>
      </c>
      <c r="N306" t="str">
        <f>"Giraldo Impianti SNC di Giraldo Danilo e Silvio Via Flli Cervi 1-II 30010 Campolongo Maggiore VE"</f>
        <v>Giraldo Impianti SNC di Giraldo Danilo e Silvio Via Flli Cervi 1-II 30010 Campolongo Maggiore VE</v>
      </c>
      <c r="O306" t="str">
        <f>"Giraldo Impianti SNC di Giraldo Danilo e Silvio Via Flli Cervi 1-II 30010 Campolongo Maggiore VE"</f>
        <v>Giraldo Impianti SNC di Giraldo Danilo e Silvio Via Flli Cervi 1-II 30010 Campolongo Maggiore VE</v>
      </c>
      <c r="P306" t="str">
        <f>"Z2C1C5B076: [285.00€ ]"</f>
        <v>Z2C1C5B076: [285.00€ ]</v>
      </c>
      <c r="Q306" t="str">
        <f>""</f>
        <v/>
      </c>
      <c r="R306" t="str">
        <f>""</f>
        <v/>
      </c>
      <c r="S306" t="str">
        <f>""</f>
        <v/>
      </c>
      <c r="T306" t="str">
        <f>"https://portaletrasparenza.consorziobacchiglione.it/dettagli/attodigara/969/sostituzione-pompa-e-corpo-pompa-caldaia-museo-c-o-s-margherita.html"</f>
        <v>https://portaletrasparenza.consorziobacchiglione.it/dettagli/attodigara/969/sostituzione-pompa-e-corpo-pompa-caldaia-museo-c-o-s-margherita.html</v>
      </c>
      <c r="U306" t="str">
        <f>""</f>
        <v/>
      </c>
      <c r="V3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07" spans="1:22" x14ac:dyDescent="0.3">
      <c r="A307" t="str">
        <f>"Affidamento"</f>
        <v>Affidamento</v>
      </c>
      <c r="B307" t="str">
        <f>"Fornitura materiale edile e di ferramenta per Bacino Sesta Presa"</f>
        <v>Fornitura materiale edile e di ferramenta per Bacino Sesta Presa</v>
      </c>
      <c r="C307" t="str">
        <f>"ZDC1C5ADE5"</f>
        <v>ZDC1C5ADE5</v>
      </c>
      <c r="D307" t="str">
        <f>"04/11/2021"</f>
        <v>04/11/2021</v>
      </c>
      <c r="E307" t="str">
        <f>""</f>
        <v/>
      </c>
      <c r="F307" t="str">
        <f>""</f>
        <v/>
      </c>
      <c r="G307" t="str">
        <f>"790.60"</f>
        <v>790.60</v>
      </c>
      <c r="H307" t="str">
        <f>"Consorzio di bonifica Bacchiglione"</f>
        <v>Consorzio di bonifica Bacchiglione</v>
      </c>
      <c r="I307" t="str">
        <f>"92223390284"</f>
        <v>92223390284</v>
      </c>
      <c r="J307" t="str">
        <f>"23-AFFIDAMENTO DIRETTO"</f>
        <v>23-AFFIDAMENTO DIRETTO</v>
      </c>
      <c r="K307" t="str">
        <f>"05/12/2021"</f>
        <v>05/12/2021</v>
      </c>
      <c r="L307" t="str">
        <f>"31/12/2021"</f>
        <v>31/12/2021</v>
      </c>
      <c r="M307" t="str">
        <f>""</f>
        <v/>
      </c>
      <c r="N307" t="str">
        <f>"Idronord s.r.l. Via delle Industrie 3C 30036 Santa Maria Di Sala VE"</f>
        <v>Idronord s.r.l. Via delle Industrie 3C 30036 Santa Maria Di Sala VE</v>
      </c>
      <c r="O307" t="str">
        <f>"Idronord s.r.l. Via delle Industrie 3C 30036 Santa Maria Di Sala VE"</f>
        <v>Idronord s.r.l. Via delle Industrie 3C 30036 Santa Maria Di Sala VE</v>
      </c>
      <c r="P307" t="str">
        <f>"ZDC1C5ADE5: [790.60€ ]"</f>
        <v>ZDC1C5ADE5: [790.60€ ]</v>
      </c>
      <c r="Q307" t="str">
        <f>""</f>
        <v/>
      </c>
      <c r="R307" t="str">
        <f>""</f>
        <v/>
      </c>
      <c r="S307" t="str">
        <f>""</f>
        <v/>
      </c>
      <c r="T307" t="str">
        <f>"https://portaletrasparenza.consorziobacchiglione.it/dettagli/attodigara/968/fornitura-materiale-edile-e-di-ferramenta-per-bacino-sesta-presa.html"</f>
        <v>https://portaletrasparenza.consorziobacchiglione.it/dettagli/attodigara/968/fornitura-materiale-edile-e-di-ferramenta-per-bacino-sesta-presa.html</v>
      </c>
      <c r="U307" t="str">
        <f>""</f>
        <v/>
      </c>
      <c r="V30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08" spans="1:22" x14ac:dyDescent="0.3">
      <c r="A308" t="str">
        <f>"Affidamento"</f>
        <v>Affidamento</v>
      </c>
      <c r="B308" t="str">
        <f>"Incarico di Coordinatore della Sicurezza in Progettazione ed Esecuzione. - Processo ID 009-14."</f>
        <v>Incarico di Coordinatore della Sicurezza in Progettazione ed Esecuzione. - Processo ID 009-14.</v>
      </c>
      <c r="C308" t="str">
        <f>"Z01186ECB7"</f>
        <v>Z01186ECB7</v>
      </c>
      <c r="D308" t="str">
        <f>"04/11/2021"</f>
        <v>04/11/2021</v>
      </c>
      <c r="E308" t="str">
        <f>""</f>
        <v/>
      </c>
      <c r="F308" t="str">
        <f>""</f>
        <v/>
      </c>
      <c r="G308" t="str">
        <f>"2080.00"</f>
        <v>2080.00</v>
      </c>
      <c r="H308" t="str">
        <f>"Consorzio di bonifica Bacchiglione"</f>
        <v>Consorzio di bonifica Bacchiglione</v>
      </c>
      <c r="I308" t="str">
        <f>"92223390284"</f>
        <v>92223390284</v>
      </c>
      <c r="J308" t="str">
        <f>"23-AFFIDAMENTO DIRETTO"</f>
        <v>23-AFFIDAMENTO DIRETTO</v>
      </c>
      <c r="K308" t="str">
        <f>"06/02/2021"</f>
        <v>06/02/2021</v>
      </c>
      <c r="L308" t="str">
        <f>"30/11/2021"</f>
        <v>30/11/2021</v>
      </c>
      <c r="M308" t="str">
        <f>""</f>
        <v/>
      </c>
      <c r="N308" t="str">
        <f>"S.EMME di Sarto geom. Mirko | Marco Bizzotto Srl | Ing. Antonio Muzzolon"</f>
        <v>S.EMME di Sarto geom. Mirko | Marco Bizzotto Srl | Ing. Antonio Muzzolon</v>
      </c>
      <c r="O308" t="str">
        <f>"S.EMME di Sarto geom. Mirko"</f>
        <v>S.EMME di Sarto geom. Mirko</v>
      </c>
      <c r="P308" t="str">
        <f>"Z01186ECB7: [2080.00€ ]"</f>
        <v>Z01186ECB7: [2080.00€ ]</v>
      </c>
      <c r="Q308" t="str">
        <f>""</f>
        <v/>
      </c>
      <c r="R308" t="str">
        <f>""</f>
        <v/>
      </c>
      <c r="S308" t="str">
        <f>""</f>
        <v/>
      </c>
      <c r="T308" t="str">
        <f>"https://portaletrasparenza.consorziobacchiglione.it/dettagli/attodigara/138/incarico-di-coordinatore-della-sicurezza-in-progettazione-ed-esecuzione-processo-id-009-14.html"</f>
        <v>https://portaletrasparenza.consorziobacchiglione.it/dettagli/attodigara/138/incarico-di-coordinatore-della-sicurezza-in-progettazione-ed-esecuzione-processo-id-009-14.html</v>
      </c>
      <c r="U308" t="str">
        <f>""</f>
        <v/>
      </c>
      <c r="V3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09" spans="1:22" x14ac:dyDescent="0.3">
      <c r="A309" t="str">
        <f>"Affidamento"</f>
        <v>Affidamento</v>
      </c>
      <c r="B309" t="str">
        <f>"Fornitura materiale D.P.I. per personale di campagna."</f>
        <v>Fornitura materiale D.P.I. per personale di campagna.</v>
      </c>
      <c r="C309" t="str">
        <f>"Z56194DC05"</f>
        <v>Z56194DC05</v>
      </c>
      <c r="D309" t="str">
        <f>"04/11/2021"</f>
        <v>04/11/2021</v>
      </c>
      <c r="E309" t="str">
        <f>""</f>
        <v/>
      </c>
      <c r="F309" t="str">
        <f>""</f>
        <v/>
      </c>
      <c r="G309" t="str">
        <f>"1724.39"</f>
        <v>1724.39</v>
      </c>
      <c r="H309" t="str">
        <f>"Consorzio di bonifica Bacchiglione"</f>
        <v>Consorzio di bonifica Bacchiglione</v>
      </c>
      <c r="I309" t="str">
        <f>"92223390284"</f>
        <v>92223390284</v>
      </c>
      <c r="J309" t="str">
        <f>"23-AFFIDAMENTO DIRETTO"</f>
        <v>23-AFFIDAMENTO DIRETTO</v>
      </c>
      <c r="K309" t="str">
        <f>"06/04/2021"</f>
        <v>06/04/2021</v>
      </c>
      <c r="L309" t="str">
        <f>"30/05/2021"</f>
        <v>30/05/2021</v>
      </c>
      <c r="M309" t="str">
        <f>""</f>
        <v/>
      </c>
      <c r="N309" t="str">
        <f>"SIR Safety System S.p.A. Zona Industriale S. Maria degli Angeli 06088 Assisi PG"</f>
        <v>SIR Safety System S.p.A. Zona Industriale S. Maria degli Angeli 06088 Assisi PG</v>
      </c>
      <c r="O309" t="str">
        <f>"SIR Safety System S.p.A. Zona Industriale S. Maria degli Angeli 06088 Assisi PG"</f>
        <v>SIR Safety System S.p.A. Zona Industriale S. Maria degli Angeli 06088 Assisi PG</v>
      </c>
      <c r="P309" t="str">
        <f>"Z56194DC05: [1724.39€ ]"</f>
        <v>Z56194DC05: [1724.39€ ]</v>
      </c>
      <c r="Q309" t="str">
        <f>""</f>
        <v/>
      </c>
      <c r="R309" t="str">
        <f>""</f>
        <v/>
      </c>
      <c r="S309" t="str">
        <f>""</f>
        <v/>
      </c>
      <c r="T309" t="str">
        <f>"https://portaletrasparenza.consorziobacchiglione.it/dettagli/attodigara/304/fornitura-materiale-d-p-i-per-personale-di-campagna.html"</f>
        <v>https://portaletrasparenza.consorziobacchiglione.it/dettagli/attodigara/304/fornitura-materiale-d-p-i-per-personale-di-campagna.html</v>
      </c>
      <c r="U309" t="str">
        <f>""</f>
        <v/>
      </c>
      <c r="V3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10" spans="1:22" x14ac:dyDescent="0.3">
      <c r="A310" t="str">
        <f>"Affidamento"</f>
        <v>Affidamento</v>
      </c>
      <c r="B310" t="str">
        <f>"Fornitura calcestruzzo per scolo Bolzani."</f>
        <v>Fornitura calcestruzzo per scolo Bolzani.</v>
      </c>
      <c r="C310" t="str">
        <f>"ZAE194DA3F"</f>
        <v>ZAE194DA3F</v>
      </c>
      <c r="D310" t="str">
        <f>"04/11/2021"</f>
        <v>04/11/2021</v>
      </c>
      <c r="E310" t="str">
        <f>""</f>
        <v/>
      </c>
      <c r="F310" t="str">
        <f>""</f>
        <v/>
      </c>
      <c r="G310" t="str">
        <f>"232.75"</f>
        <v>232.75</v>
      </c>
      <c r="H310" t="str">
        <f>"Consorzio di bonifica Bacchiglione"</f>
        <v>Consorzio di bonifica Bacchiglione</v>
      </c>
      <c r="I310" t="str">
        <f>"92223390284"</f>
        <v>92223390284</v>
      </c>
      <c r="J310" t="str">
        <f>"23-AFFIDAMENTO DIRETTO"</f>
        <v>23-AFFIDAMENTO DIRETTO</v>
      </c>
      <c r="K310" t="str">
        <f>"06/04/2021"</f>
        <v>06/04/2021</v>
      </c>
      <c r="L310" t="str">
        <f>"26/05/2021"</f>
        <v>26/05/2021</v>
      </c>
      <c r="M310" t="str">
        <f>""</f>
        <v/>
      </c>
      <c r="N310" t="str">
        <f>"Calcestruzzi Donà s.r.l. Via Fossalta 2 35025 Cartura PD"</f>
        <v>Calcestruzzi Donà s.r.l. Via Fossalta 2 35025 Cartura PD</v>
      </c>
      <c r="O310" t="str">
        <f>"Calcestruzzi Donà s.r.l. Via Fossalta 2 35025 Cartura PD"</f>
        <v>Calcestruzzi Donà s.r.l. Via Fossalta 2 35025 Cartura PD</v>
      </c>
      <c r="P310" t="str">
        <f>"ZAE194DA3F: [232.75€ ]"</f>
        <v>ZAE194DA3F: [232.75€ ]</v>
      </c>
      <c r="Q310" t="str">
        <f>""</f>
        <v/>
      </c>
      <c r="R310" t="str">
        <f>""</f>
        <v/>
      </c>
      <c r="S310" t="str">
        <f>""</f>
        <v/>
      </c>
      <c r="T310" t="str">
        <f>"https://portaletrasparenza.consorziobacchiglione.it/dettagli/attodigara/303/fornitura-calcestruzzo-per-scolo-bolzani.html"</f>
        <v>https://portaletrasparenza.consorziobacchiglione.it/dettagli/attodigara/303/fornitura-calcestruzzo-per-scolo-bolzani.html</v>
      </c>
      <c r="U310" t="str">
        <f>""</f>
        <v/>
      </c>
      <c r="V3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11" spans="1:22" x14ac:dyDescent="0.3">
      <c r="A311" t="str">
        <f>"Affidamento"</f>
        <v>Affidamento</v>
      </c>
      <c r="B311" t="str">
        <f>"Riparazione e manutenzione mezzi con targa: DA207YW, DA204YW."</f>
        <v>Riparazione e manutenzione mezzi con targa: DA207YW, DA204YW.</v>
      </c>
      <c r="C311" t="str">
        <f>"Z31194D8E9"</f>
        <v>Z31194D8E9</v>
      </c>
      <c r="D311" t="str">
        <f>"04/11/2021"</f>
        <v>04/11/2021</v>
      </c>
      <c r="E311" t="str">
        <f>""</f>
        <v/>
      </c>
      <c r="F311" t="str">
        <f>""</f>
        <v/>
      </c>
      <c r="G311" t="str">
        <f>"864.28"</f>
        <v>864.28</v>
      </c>
      <c r="H311" t="str">
        <f>"Consorzio di bonifica Bacchiglione"</f>
        <v>Consorzio di bonifica Bacchiglione</v>
      </c>
      <c r="I311" t="str">
        <f>"92223390284"</f>
        <v>92223390284</v>
      </c>
      <c r="J311" t="str">
        <f>"23-AFFIDAMENTO DIRETTO"</f>
        <v>23-AFFIDAMENTO DIRETTO</v>
      </c>
      <c r="K311" t="str">
        <f>"06/04/2021"</f>
        <v>06/04/2021</v>
      </c>
      <c r="L311" t="str">
        <f>"03/05/2021"</f>
        <v>03/05/2021</v>
      </c>
      <c r="M311" t="str">
        <f>""</f>
        <v/>
      </c>
      <c r="N311" t="str">
        <f>"Mardegan F.lli s.n.c. Via Argine Destro 13A 35020 Brenta di Correzzola PD"</f>
        <v>Mardegan F.lli s.n.c. Via Argine Destro 13A 35020 Brenta di Correzzola PD</v>
      </c>
      <c r="O311" t="str">
        <f>"Mardegan F.lli s.n.c. Via Argine Destro 13A 35020 Brenta di Correzzola PD"</f>
        <v>Mardegan F.lli s.n.c. Via Argine Destro 13A 35020 Brenta di Correzzola PD</v>
      </c>
      <c r="P311" t="str">
        <f>"Z31194D8E9: [864.28€ ]"</f>
        <v>Z31194D8E9: [864.28€ ]</v>
      </c>
      <c r="Q311" t="str">
        <f>""</f>
        <v/>
      </c>
      <c r="R311" t="str">
        <f>""</f>
        <v/>
      </c>
      <c r="S311" t="str">
        <f>""</f>
        <v/>
      </c>
      <c r="T311" t="str">
        <f>"https://portaletrasparenza.consorziobacchiglione.it/dettagli/attodigara/302/riparazione-e-manutenzione-mezzi-con-targa-da207yw-da204yw.html"</f>
        <v>https://portaletrasparenza.consorziobacchiglione.it/dettagli/attodigara/302/riparazione-e-manutenzione-mezzi-con-targa-da207yw-da204yw.html</v>
      </c>
      <c r="U311" t="str">
        <f>""</f>
        <v/>
      </c>
      <c r="V31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12" spans="1:22" x14ac:dyDescent="0.3">
      <c r="A312" t="str">
        <f>"Affidamento"</f>
        <v>Affidamento</v>
      </c>
      <c r="B312" t="str">
        <f>"Fornitura materiale di ferramenta per mezzi con targa: AGK711, DN881SC."</f>
        <v>Fornitura materiale di ferramenta per mezzi con targa: AGK711, DN881SC.</v>
      </c>
      <c r="C312" t="str">
        <f>"Z1D194B716"</f>
        <v>Z1D194B716</v>
      </c>
      <c r="D312" t="str">
        <f>"04/11/2021"</f>
        <v>04/11/2021</v>
      </c>
      <c r="E312" t="str">
        <f>""</f>
        <v/>
      </c>
      <c r="F312" t="str">
        <f>""</f>
        <v/>
      </c>
      <c r="G312" t="str">
        <f>"424.20"</f>
        <v>424.20</v>
      </c>
      <c r="H312" t="str">
        <f>"Consorzio di bonifica Bacchiglione"</f>
        <v>Consorzio di bonifica Bacchiglione</v>
      </c>
      <c r="I312" t="str">
        <f>"92223390284"</f>
        <v>92223390284</v>
      </c>
      <c r="J312" t="str">
        <f>"23-AFFIDAMENTO DIRETTO"</f>
        <v>23-AFFIDAMENTO DIRETTO</v>
      </c>
      <c r="K312" t="str">
        <f>"06/04/2021"</f>
        <v>06/04/2021</v>
      </c>
      <c r="L312" t="str">
        <f>"26/05/2021"</f>
        <v>26/05/2021</v>
      </c>
      <c r="M312" t="str">
        <f>""</f>
        <v/>
      </c>
      <c r="N312" t="str">
        <f>"Chinaglia Bruno S.A.S di Chinaglia Pierpaolo E C. Via Vittorio Veneto 105 35028 Piove di Sacco PD"</f>
        <v>Chinaglia Bruno S.A.S di Chinaglia Pierpaolo E C. Via Vittorio Veneto 105 35028 Piove di Sacco PD</v>
      </c>
      <c r="O312" t="str">
        <f>"Chinaglia Bruno S.A.S di Chinaglia Pierpaolo E C. Via Vittorio Veneto 105 35028 Piove di Sacco PD"</f>
        <v>Chinaglia Bruno S.A.S di Chinaglia Pierpaolo E C. Via Vittorio Veneto 105 35028 Piove di Sacco PD</v>
      </c>
      <c r="P312" t="str">
        <f>"Z1D194B716: [424.20€ ]"</f>
        <v>Z1D194B716: [424.20€ ]</v>
      </c>
      <c r="Q312" t="str">
        <f>""</f>
        <v/>
      </c>
      <c r="R312" t="str">
        <f>""</f>
        <v/>
      </c>
      <c r="S312" t="str">
        <f>""</f>
        <v/>
      </c>
      <c r="T312" t="str">
        <f>"https://portaletrasparenza.consorziobacchiglione.it/dettagli/attodigara/301/fornitura-materiale-di-ferramenta-per-mezzi-con-targa-agk711-dn881sc.html"</f>
        <v>https://portaletrasparenza.consorziobacchiglione.it/dettagli/attodigara/301/fornitura-materiale-di-ferramenta-per-mezzi-con-targa-agk711-dn881sc.html</v>
      </c>
      <c r="U312" t="str">
        <f>""</f>
        <v/>
      </c>
      <c r="V3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13" spans="1:22" x14ac:dyDescent="0.3">
      <c r="A313" t="str">
        <f>"Affidamento"</f>
        <v>Affidamento</v>
      </c>
      <c r="B313" t="str">
        <f>"Prelievi e analisi chimiche su campioni di sedimento e terreno. - Processo ID 010-14."</f>
        <v>Prelievi e analisi chimiche su campioni di sedimento e terreno. - Processo ID 010-14.</v>
      </c>
      <c r="C313" t="str">
        <f>"ZA1192B88B"</f>
        <v>ZA1192B88B</v>
      </c>
      <c r="D313" t="str">
        <f>"04/11/2021"</f>
        <v>04/11/2021</v>
      </c>
      <c r="E313" t="str">
        <f>""</f>
        <v/>
      </c>
      <c r="F313" t="str">
        <f>""</f>
        <v/>
      </c>
      <c r="G313" t="str">
        <f>"1460.00"</f>
        <v>1460.00</v>
      </c>
      <c r="H313" t="str">
        <f>"Consorzio di bonifica Bacchiglione"</f>
        <v>Consorzio di bonifica Bacchiglione</v>
      </c>
      <c r="I313" t="str">
        <f>"92223390284"</f>
        <v>92223390284</v>
      </c>
      <c r="J313" t="str">
        <f>"23-AFFIDAMENTO DIRETTO"</f>
        <v>23-AFFIDAMENTO DIRETTO</v>
      </c>
      <c r="K313" t="str">
        <f>"06/04/2021"</f>
        <v>06/04/2021</v>
      </c>
      <c r="L313" t="str">
        <f>"09/08/2021"</f>
        <v>09/08/2021</v>
      </c>
      <c r="M313" t="str">
        <f>""</f>
        <v/>
      </c>
      <c r="N313" t="str">
        <f>"Geologia Tecnica sas di Vorlicek P.A. E C. | Innovazione Chimica s.r.l."</f>
        <v>Geologia Tecnica sas di Vorlicek P.A. E C. | Innovazione Chimica s.r.l.</v>
      </c>
      <c r="O313" t="str">
        <f>"Innovazione Chimica s.r.l."</f>
        <v>Innovazione Chimica s.r.l.</v>
      </c>
      <c r="P313" t="str">
        <f>"ZA1192B88B: [1460.00€ ]"</f>
        <v>ZA1192B88B: [1460.00€ ]</v>
      </c>
      <c r="Q313" t="str">
        <f>""</f>
        <v/>
      </c>
      <c r="R313" t="str">
        <f>""</f>
        <v/>
      </c>
      <c r="S313" t="str">
        <f>""</f>
        <v/>
      </c>
      <c r="T313" t="str">
        <f>"https://portaletrasparenza.consorziobacchiglione.it/dettagli/attodigara/300/prelievi-e-analisi-chimiche-su-campioni-di-sedimento-e-terreno-processo-id-010-14.html"</f>
        <v>https://portaletrasparenza.consorziobacchiglione.it/dettagli/attodigara/300/prelievi-e-analisi-chimiche-su-campioni-di-sedimento-e-terreno-processo-id-010-14.html</v>
      </c>
      <c r="U313" t="str">
        <f>""</f>
        <v/>
      </c>
      <c r="V3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14" spans="1:22" x14ac:dyDescent="0.3">
      <c r="A314" t="str">
        <f>"Affidamento"</f>
        <v>Affidamento</v>
      </c>
      <c r="B314" t="str">
        <f>"Trasporto materiale derivante dall'espurgo dello scolo consorziale Manzoni, lungo Via Cà Manzoni, in comune di Padova (PD)"</f>
        <v>Trasporto materiale derivante dall'espurgo dello scolo consorziale Manzoni, lungo Via Cà Manzoni, in comune di Padova (PD)</v>
      </c>
      <c r="C314" t="str">
        <f>"Z56313FA45"</f>
        <v>Z56313FA45</v>
      </c>
      <c r="D314" t="str">
        <f>"06/04/2021"</f>
        <v>06/04/2021</v>
      </c>
      <c r="E314" t="str">
        <f>""</f>
        <v/>
      </c>
      <c r="F314" t="str">
        <f>""</f>
        <v/>
      </c>
      <c r="G314" t="str">
        <f>"4198.05"</f>
        <v>4198.05</v>
      </c>
      <c r="H314" t="str">
        <f>"Consorzio di bonifica Bacchiglione"</f>
        <v>Consorzio di bonifica Bacchiglione</v>
      </c>
      <c r="I314" t="str">
        <f>"92223390284"</f>
        <v>92223390284</v>
      </c>
      <c r="J314" t="str">
        <f>"23-AFFIDAMENTO DIRETTO"</f>
        <v>23-AFFIDAMENTO DIRETTO</v>
      </c>
      <c r="K314" t="str">
        <f>"06/04/2021"</f>
        <v>06/04/2021</v>
      </c>
      <c r="L314" t="str">
        <f>"07/05/2021"</f>
        <v>07/05/2021</v>
      </c>
      <c r="M314" t="str">
        <f>""</f>
        <v/>
      </c>
      <c r="N314" t="str">
        <f>"Fasolato F.lli S.r.l. via Boligo 32-B - 30010 Bojon di Campolongo Maggiore (VE)"</f>
        <v>Fasolato F.lli S.r.l. via Boligo 32-B - 30010 Bojon di Campolongo Maggiore (VE)</v>
      </c>
      <c r="O314" t="str">
        <f>"Fasolato F.lli S.r.l. via Boligo 32-B - 30010 Bojon di Campolongo Maggiore (VE)"</f>
        <v>Fasolato F.lli S.r.l. via Boligo 32-B - 30010 Bojon di Campolongo Maggiore (VE)</v>
      </c>
      <c r="P314" t="str">
        <f>"Z56313FA45: [4198.05€ ]"</f>
        <v>Z56313FA45: [4198.05€ ]</v>
      </c>
      <c r="Q314" t="str">
        <f>""</f>
        <v/>
      </c>
      <c r="R314" t="str">
        <f>""</f>
        <v/>
      </c>
      <c r="S314" t="str">
        <f>""</f>
        <v/>
      </c>
      <c r="T314" t="str">
        <f>"https://portaletrasparenza.consorziobacchiglione.it/dettagli/attodigara/6772/trasporto-materiale-derivante-dall-espurgo-dello-scolo-consorziale-manzoni-lungo-via-ca-manzoni-in-comune-di-padova-pd.html"</f>
        <v>https://portaletrasparenza.consorziobacchiglione.it/dettagli/attodigara/6772/trasporto-materiale-derivante-dall-espurgo-dello-scolo-consorziale-manzoni-lungo-via-ca-manzoni-in-comune-di-padova-pd.html</v>
      </c>
      <c r="U314" t="str">
        <f>"https://portaletrasparenza.consorziobacchiglione.it/download/attodigara/6772/63ac4579a130d.PDF"</f>
        <v>https://portaletrasparenza.consorziobacchiglione.it/download/attodigara/6772/63ac4579a130d.PDF</v>
      </c>
      <c r="V31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15" spans="1:22" x14ac:dyDescent="0.3">
      <c r="A315" t="str">
        <f>"Affidamento"</f>
        <v>Affidamento</v>
      </c>
      <c r="B315" t="str">
        <f>"Spostamento escavatore 904 cingolato da Via Isonzo Campagna Lupia (scolo Brentella) a Corte di Piove di Sacco (scolo Cornio Nuovo)"</f>
        <v>Spostamento escavatore 904 cingolato da Via Isonzo Campagna Lupia (scolo Brentella) a Corte di Piove di Sacco (scolo Cornio Nuovo)</v>
      </c>
      <c r="C315" t="str">
        <f>"Z1E313D3A5"</f>
        <v>Z1E313D3A5</v>
      </c>
      <c r="D315" t="str">
        <f>"06/04/2021"</f>
        <v>06/04/2021</v>
      </c>
      <c r="E315" t="str">
        <f>""</f>
        <v/>
      </c>
      <c r="F315" t="str">
        <f>""</f>
        <v/>
      </c>
      <c r="G315" t="str">
        <f>"180.00"</f>
        <v>180.00</v>
      </c>
      <c r="H315" t="str">
        <f>"Consorzio di bonifica Bacchiglione"</f>
        <v>Consorzio di bonifica Bacchiglione</v>
      </c>
      <c r="I315" t="str">
        <f>"92223390284"</f>
        <v>92223390284</v>
      </c>
      <c r="J315" t="str">
        <f>"23-AFFIDAMENTO DIRETTO"</f>
        <v>23-AFFIDAMENTO DIRETTO</v>
      </c>
      <c r="K315" t="str">
        <f>"06/04/2021"</f>
        <v>06/04/2021</v>
      </c>
      <c r="L315" t="str">
        <f>"15/04/2021"</f>
        <v>15/04/2021</v>
      </c>
      <c r="M315" t="str">
        <f>""</f>
        <v/>
      </c>
      <c r="N315" t="str">
        <f>"Trovò s.r.l. Via Idrovora, 3 - 35020 Codevigo (PD)"</f>
        <v>Trovò s.r.l. Via Idrovora, 3 - 35020 Codevigo (PD)</v>
      </c>
      <c r="O315" t="str">
        <f>"Trovò s.r.l. Via Idrovora, 3 - 35020 Codevigo (PD)"</f>
        <v>Trovò s.r.l. Via Idrovora, 3 - 35020 Codevigo (PD)</v>
      </c>
      <c r="P315" t="str">
        <f>"Z1E313D3A5: [180.00€ ]"</f>
        <v>Z1E313D3A5: [180.00€ ]</v>
      </c>
      <c r="Q315" t="str">
        <f>""</f>
        <v/>
      </c>
      <c r="R315" t="str">
        <f>""</f>
        <v/>
      </c>
      <c r="S315" t="str">
        <f>""</f>
        <v/>
      </c>
      <c r="T315" t="str">
        <f>"https://portaletrasparenza.consorziobacchiglione.it/dettagli/attodigara/6771/spostamento-escavatore-904-cingolato-da-via-isonzo-campagna-lupia-scolo-brentella-a-corte-di-piove-di-sacco-scolo-cornio-nuovo.html"</f>
        <v>https://portaletrasparenza.consorziobacchiglione.it/dettagli/attodigara/6771/spostamento-escavatore-904-cingolato-da-via-isonzo-campagna-lupia-scolo-brentella-a-corte-di-piove-di-sacco-scolo-cornio-nuovo.html</v>
      </c>
      <c r="U315" t="str">
        <f>"https://portaletrasparenza.consorziobacchiglione.it/download/attodigara/6771/63ac457968b96.PDF"</f>
        <v>https://portaletrasparenza.consorziobacchiglione.it/download/attodigara/6771/63ac457968b96.PDF</v>
      </c>
      <c r="V31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16" spans="1:22" x14ac:dyDescent="0.3">
      <c r="A316" t="str">
        <f>"Affidamento"</f>
        <v>Affidamento</v>
      </c>
      <c r="B316" t="str">
        <f>"Fornitura ricambi al Widia per trapano presso C.O.S.Margherita"</f>
        <v>Fornitura ricambi al Widia per trapano presso C.O.S.Margherita</v>
      </c>
      <c r="C316" t="str">
        <f>"ZF0313D361"</f>
        <v>ZF0313D361</v>
      </c>
      <c r="D316" t="str">
        <f>"06/04/2021"</f>
        <v>06/04/2021</v>
      </c>
      <c r="E316" t="str">
        <f>""</f>
        <v/>
      </c>
      <c r="F316" t="str">
        <f>""</f>
        <v/>
      </c>
      <c r="G316" t="str">
        <f>"300.00"</f>
        <v>300.00</v>
      </c>
      <c r="H316" t="str">
        <f>"Consorzio di bonifica Bacchiglione"</f>
        <v>Consorzio di bonifica Bacchiglione</v>
      </c>
      <c r="I316" t="str">
        <f>"92223390284"</f>
        <v>92223390284</v>
      </c>
      <c r="J316" t="str">
        <f>"23-AFFIDAMENTO DIRETTO"</f>
        <v>23-AFFIDAMENTO DIRETTO</v>
      </c>
      <c r="K316" t="str">
        <f>"06/04/2021"</f>
        <v>06/04/2021</v>
      </c>
      <c r="L316" t="str">
        <f>"30/04/2021"</f>
        <v>30/04/2021</v>
      </c>
      <c r="M316" t="str">
        <f>""</f>
        <v/>
      </c>
      <c r="N316" t="str">
        <f>"Scarpa Sergio Elettromeccanica S.n.c. di Scarpa Paola E C. Via A. Vivaldi 7 35028 Piove di Sacco PD"</f>
        <v>Scarpa Sergio Elettromeccanica S.n.c. di Scarpa Paola E C. Via A. Vivaldi 7 35028 Piove di Sacco PD</v>
      </c>
      <c r="O316" t="str">
        <f>"Scarpa Sergio Elettromeccanica S.n.c. di Scarpa Paola E C. Via A. Vivaldi 7 35028 Piove di Sacco PD"</f>
        <v>Scarpa Sergio Elettromeccanica S.n.c. di Scarpa Paola E C. Via A. Vivaldi 7 35028 Piove di Sacco PD</v>
      </c>
      <c r="P316" t="str">
        <f>"ZF0313D361: [300.00€ ]"</f>
        <v>ZF0313D361: [300.00€ ]</v>
      </c>
      <c r="Q316" t="str">
        <f>""</f>
        <v/>
      </c>
      <c r="R316" t="str">
        <f>""</f>
        <v/>
      </c>
      <c r="S316" t="str">
        <f>""</f>
        <v/>
      </c>
      <c r="T316" t="str">
        <f>"https://portaletrasparenza.consorziobacchiglione.it/dettagli/attodigara/6770/fornitura-ricambi-al-widia-per-trapano-presso-c-o-s-margherita.html"</f>
        <v>https://portaletrasparenza.consorziobacchiglione.it/dettagli/attodigara/6770/fornitura-ricambi-al-widia-per-trapano-presso-c-o-s-margherita.html</v>
      </c>
      <c r="U316" t="str">
        <f>"https://portaletrasparenza.consorziobacchiglione.it/download/attodigara/6770/63ac45793057b.PDF"</f>
        <v>https://portaletrasparenza.consorziobacchiglione.it/download/attodigara/6770/63ac45793057b.PDF</v>
      </c>
      <c r="V31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17" spans="1:22" x14ac:dyDescent="0.3">
      <c r="A317" t="str">
        <f>"Affidamento"</f>
        <v>Affidamento</v>
      </c>
      <c r="B317" t="str">
        <f>"Riparazione pneumatico del mezzo targato: FF936PM"</f>
        <v>Riparazione pneumatico del mezzo targato: FF936PM</v>
      </c>
      <c r="C317" t="str">
        <f>"Z7E313D30C"</f>
        <v>Z7E313D30C</v>
      </c>
      <c r="D317" t="str">
        <f>"06/04/2021"</f>
        <v>06/04/2021</v>
      </c>
      <c r="E317" t="str">
        <f>""</f>
        <v/>
      </c>
      <c r="F317" t="str">
        <f>""</f>
        <v/>
      </c>
      <c r="G317" t="str">
        <f>"25.00"</f>
        <v>25.00</v>
      </c>
      <c r="H317" t="str">
        <f>"Consorzio di bonifica Bacchiglione"</f>
        <v>Consorzio di bonifica Bacchiglione</v>
      </c>
      <c r="I317" t="str">
        <f>"92223390284"</f>
        <v>92223390284</v>
      </c>
      <c r="J317" t="str">
        <f>"23-AFFIDAMENTO DIRETTO"</f>
        <v>23-AFFIDAMENTO DIRETTO</v>
      </c>
      <c r="K317" t="str">
        <f>"06/04/2021"</f>
        <v>06/04/2021</v>
      </c>
      <c r="L317" t="str">
        <f>"12/04/2021"</f>
        <v>12/04/2021</v>
      </c>
      <c r="M317" t="str">
        <f>""</f>
        <v/>
      </c>
      <c r="N317" t="str">
        <f>"Giacobazzi Gomme Corso Terme 27 35036 Montegrotto Terme PD"</f>
        <v>Giacobazzi Gomme Corso Terme 27 35036 Montegrotto Terme PD</v>
      </c>
      <c r="O317" t="str">
        <f>"Giacobazzi Gomme Corso Terme 27 35036 Montegrotto Terme PD"</f>
        <v>Giacobazzi Gomme Corso Terme 27 35036 Montegrotto Terme PD</v>
      </c>
      <c r="P317" t="str">
        <f>"Z7E313D30C: [25.00€ ]"</f>
        <v>Z7E313D30C: [25.00€ ]</v>
      </c>
      <c r="Q317" t="str">
        <f>""</f>
        <v/>
      </c>
      <c r="R317" t="str">
        <f>""</f>
        <v/>
      </c>
      <c r="S317" t="str">
        <f>""</f>
        <v/>
      </c>
      <c r="T317" t="str">
        <f>"https://portaletrasparenza.consorziobacchiglione.it/dettagli/attodigara/6768/riparazione-pneumatico-del-mezzo-targato-ff936pm.html"</f>
        <v>https://portaletrasparenza.consorziobacchiglione.it/dettagli/attodigara/6768/riparazione-pneumatico-del-mezzo-targato-ff936pm.html</v>
      </c>
      <c r="U317" t="str">
        <f>"https://portaletrasparenza.consorziobacchiglione.it/download/attodigara/6768/63ac4578b370e.PDF"</f>
        <v>https://portaletrasparenza.consorziobacchiglione.it/download/attodigara/6768/63ac4578b370e.PDF</v>
      </c>
      <c r="V31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18" spans="1:22" x14ac:dyDescent="0.3">
      <c r="A318" t="str">
        <f>"Affidamento"</f>
        <v>Affidamento</v>
      </c>
      <c r="B318" t="str">
        <f>"Fornitura materiale elettrico per vari Impianti presso Bacino Pratiarcati"</f>
        <v>Fornitura materiale elettrico per vari Impianti presso Bacino Pratiarcati</v>
      </c>
      <c r="C318" t="str">
        <f>"ZA3313D337"</f>
        <v>ZA3313D337</v>
      </c>
      <c r="D318" t="str">
        <f>"06/04/2021"</f>
        <v>06/04/2021</v>
      </c>
      <c r="E318" t="str">
        <f>""</f>
        <v/>
      </c>
      <c r="F318" t="str">
        <f>""</f>
        <v/>
      </c>
      <c r="G318" t="str">
        <f>"1184.34"</f>
        <v>1184.34</v>
      </c>
      <c r="H318" t="str">
        <f>"Consorzio di bonifica Bacchiglione"</f>
        <v>Consorzio di bonifica Bacchiglione</v>
      </c>
      <c r="I318" t="str">
        <f>"92223390284"</f>
        <v>92223390284</v>
      </c>
      <c r="J318" t="str">
        <f>"23-AFFIDAMENTO DIRETTO"</f>
        <v>23-AFFIDAMENTO DIRETTO</v>
      </c>
      <c r="K318" t="str">
        <f>"06/04/2021"</f>
        <v>06/04/2021</v>
      </c>
      <c r="L318" t="str">
        <f>"31/12/2021"</f>
        <v>31/12/2021</v>
      </c>
      <c r="M318" t="str">
        <f>""</f>
        <v/>
      </c>
      <c r="N318" t="str">
        <f>"Elettroveneta S.p.A. Viale della Navigazione Interna, 48 - 35129 Padova (PD)"</f>
        <v>Elettroveneta S.p.A. Viale della Navigazione Interna, 48 - 35129 Padova (PD)</v>
      </c>
      <c r="O318" t="str">
        <f>"Elettroveneta S.p.A. Viale della Navigazione Interna, 48 - 35129 Padova (PD)"</f>
        <v>Elettroveneta S.p.A. Viale della Navigazione Interna, 48 - 35129 Padova (PD)</v>
      </c>
      <c r="P318" t="str">
        <f>"ZA3313D337: [1072.59€ ]"</f>
        <v>ZA3313D337: [1072.59€ ]</v>
      </c>
      <c r="Q318" t="str">
        <f>""</f>
        <v/>
      </c>
      <c r="R318" t="str">
        <f>""</f>
        <v/>
      </c>
      <c r="S318" t="str">
        <f>""</f>
        <v/>
      </c>
      <c r="T318" t="str">
        <f>"https://portaletrasparenza.consorziobacchiglione.it/dettagli/attodigara/6769/fornitura-materiale-elettrico-per-vari-impianti-presso-bacino-pratiarcati.html"</f>
        <v>https://portaletrasparenza.consorziobacchiglione.it/dettagli/attodigara/6769/fornitura-materiale-elettrico-per-vari-impianti-presso-bacino-pratiarcati.html</v>
      </c>
      <c r="U318" t="str">
        <f>"https://portaletrasparenza.consorziobacchiglione.it/download/attodigara/6769/63ac4578ec038.PDF"</f>
        <v>https://portaletrasparenza.consorziobacchiglione.it/download/attodigara/6769/63ac4578ec038.PDF</v>
      </c>
      <c r="V318">
        <f>(SUBSTITUTE(Tabella1[[#This Row],[Importo di aggiudicazione]],".",","))-(SUBSTITUTE(  SUBSTITUTE(          SUBSTITUTE(Tabella1[[#This Row],[Dettaglio somme liquidate]],Tabella1[[#This Row],[CIG]]&amp;": [",""),"€ ]",""),".",","))</f>
        <v>111.75</v>
      </c>
    </row>
    <row r="319" spans="1:22" x14ac:dyDescent="0.3">
      <c r="A319" t="str">
        <f>"Affidamento"</f>
        <v>Affidamento</v>
      </c>
      <c r="B319" t="str">
        <f>"Fornitura MC 15 di calcestruzzo RCK 300 S4 per lavori presso Roggia Cinquantacinque"</f>
        <v>Fornitura MC 15 di calcestruzzo RCK 300 S4 per lavori presso Roggia Cinquantacinque</v>
      </c>
      <c r="C319" t="str">
        <f>"ZAC313D2B3"</f>
        <v>ZAC313D2B3</v>
      </c>
      <c r="D319" t="str">
        <f>"06/04/2021"</f>
        <v>06/04/2021</v>
      </c>
      <c r="E319" t="str">
        <f>""</f>
        <v/>
      </c>
      <c r="F319" t="str">
        <f>""</f>
        <v/>
      </c>
      <c r="G319" t="str">
        <f>"990.00"</f>
        <v>990.00</v>
      </c>
      <c r="H319" t="str">
        <f>"Consorzio di bonifica Bacchiglione"</f>
        <v>Consorzio di bonifica Bacchiglione</v>
      </c>
      <c r="I319" t="str">
        <f>"92223390284"</f>
        <v>92223390284</v>
      </c>
      <c r="J319" t="str">
        <f>"23-AFFIDAMENTO DIRETTO"</f>
        <v>23-AFFIDAMENTO DIRETTO</v>
      </c>
      <c r="K319" t="str">
        <f>"06/04/2021"</f>
        <v>06/04/2021</v>
      </c>
      <c r="L319" t="str">
        <f>"31/03/2021"</f>
        <v>31/03/2021</v>
      </c>
      <c r="M319" t="str">
        <f>""</f>
        <v/>
      </c>
      <c r="N319" t="str">
        <f>"Zagolin Giovanni s.r.l. Via Gelsi 56 35028 Piove di Sacco PD"</f>
        <v>Zagolin Giovanni s.r.l. Via Gelsi 56 35028 Piove di Sacco PD</v>
      </c>
      <c r="O319" t="str">
        <f>"Zagolin Giovanni s.r.l. Via Gelsi 56 35028 Piove di Sacco PD"</f>
        <v>Zagolin Giovanni s.r.l. Via Gelsi 56 35028 Piove di Sacco PD</v>
      </c>
      <c r="P319" t="str">
        <f>"ZAC313D2B3: [0.00€ ]"</f>
        <v>ZAC313D2B3: [0.00€ ]</v>
      </c>
      <c r="Q319" t="str">
        <f>""</f>
        <v/>
      </c>
      <c r="R319" t="str">
        <f>""</f>
        <v/>
      </c>
      <c r="S319" t="str">
        <f>""</f>
        <v/>
      </c>
      <c r="T319" t="str">
        <f>"https://portaletrasparenza.consorziobacchiglione.it/dettagli/attodigara/6767/fornitura-mc-15-di-calcestruzzo-rck-300-s4-per-lavori-presso-roggia-cinquantacinque.html"</f>
        <v>https://portaletrasparenza.consorziobacchiglione.it/dettagli/attodigara/6767/fornitura-mc-15-di-calcestruzzo-rck-300-s4-per-lavori-presso-roggia-cinquantacinque.html</v>
      </c>
      <c r="U319" t="str">
        <f>"https://portaletrasparenza.consorziobacchiglione.it/download/attodigara/6767/62a209c02b076.PDF"</f>
        <v>https://portaletrasparenza.consorziobacchiglione.it/download/attodigara/6767/62a209c02b076.PDF</v>
      </c>
      <c r="V319">
        <f>(SUBSTITUTE(Tabella1[[#This Row],[Importo di aggiudicazione]],".",","))-(SUBSTITUTE(  SUBSTITUTE(          SUBSTITUTE(Tabella1[[#This Row],[Dettaglio somme liquidate]],Tabella1[[#This Row],[CIG]]&amp;": [",""),"€ ]",""),".",","))</f>
        <v>990</v>
      </c>
    </row>
    <row r="320" spans="1:22" x14ac:dyDescent="0.3">
      <c r="A320" t="str">
        <f>"Affidamento"</f>
        <v>Affidamento</v>
      </c>
      <c r="B320" t="str">
        <f>"Fornitura estintori per Impianti Idrovori e Impianti di Irrigazione ."</f>
        <v>Fornitura estintori per Impianti Idrovori e Impianti di Irrigazione .</v>
      </c>
      <c r="C320" t="str">
        <f>"ZB319C18AE"</f>
        <v>ZB319C18AE</v>
      </c>
      <c r="D320" t="str">
        <f>"04/11/2021"</f>
        <v>04/11/2021</v>
      </c>
      <c r="E320" t="str">
        <f>""</f>
        <v/>
      </c>
      <c r="F320" t="str">
        <f>""</f>
        <v/>
      </c>
      <c r="G320" t="str">
        <f>"1718.74"</f>
        <v>1718.74</v>
      </c>
      <c r="H320" t="str">
        <f>"Consorzio di bonifica Bacchiglione"</f>
        <v>Consorzio di bonifica Bacchiglione</v>
      </c>
      <c r="I320" t="str">
        <f>"92223390284"</f>
        <v>92223390284</v>
      </c>
      <c r="J320" t="str">
        <f>"23-AFFIDAMENTO DIRETTO"</f>
        <v>23-AFFIDAMENTO DIRETTO</v>
      </c>
      <c r="K320" t="str">
        <f>"06/05/2021"</f>
        <v>06/05/2021</v>
      </c>
      <c r="L320" t="str">
        <f>"04/07/2021"</f>
        <v>04/07/2021</v>
      </c>
      <c r="M320" t="str">
        <f>""</f>
        <v/>
      </c>
      <c r="N320" t="str">
        <f>"Bergamaschi Antincendi Antinfortunistica Padova s.r.l. Via G. Galilei 2-I 35030 Caselle di Selvazzano PD"</f>
        <v>Bergamaschi Antincendi Antinfortunistica Padova s.r.l. Via G. Galilei 2-I 35030 Caselle di Selvazzano PD</v>
      </c>
      <c r="O320" t="str">
        <f>"Bergamaschi Antincendi Antinfortunistica Padova s.r.l. Via G. Galilei 2-I 35030 Caselle di Selvazzano PD"</f>
        <v>Bergamaschi Antincendi Antinfortunistica Padova s.r.l. Via G. Galilei 2-I 35030 Caselle di Selvazzano PD</v>
      </c>
      <c r="P320" t="str">
        <f>"ZB319C18AE: [1718.74€ ]"</f>
        <v>ZB319C18AE: [1718.74€ ]</v>
      </c>
      <c r="Q320" t="str">
        <f>""</f>
        <v/>
      </c>
      <c r="R320" t="str">
        <f>""</f>
        <v/>
      </c>
      <c r="S320" t="str">
        <f>""</f>
        <v/>
      </c>
      <c r="T320" t="str">
        <f>"https://portaletrasparenza.consorziobacchiglione.it/dettagli/attodigara/399/fornitura-estintori-per-impianti-idrovori-e-impianti-di-irrigazione.html"</f>
        <v>https://portaletrasparenza.consorziobacchiglione.it/dettagli/attodigara/399/fornitura-estintori-per-impianti-idrovori-e-impianti-di-irrigazione.html</v>
      </c>
      <c r="U320" t="str">
        <f>""</f>
        <v/>
      </c>
      <c r="V32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21" spans="1:22" x14ac:dyDescent="0.3">
      <c r="A321" t="str">
        <f>"Affidamento"</f>
        <v>Affidamento</v>
      </c>
      <c r="B321" t="str">
        <f>"Aumento potenza disponibile da kW 17 a kW 33 dell'utenza elettrica, presso l'impianto irriguo \'Sifone Galta\'."</f>
        <v>Aumento potenza disponibile da kW 17 a kW 33 dell'utenza elettrica, presso l'impianto irriguo \'Sifone Galta\'.</v>
      </c>
      <c r="C321" t="str">
        <f>"Z5D19C347C"</f>
        <v>Z5D19C347C</v>
      </c>
      <c r="D321" t="str">
        <f>"04/11/2021"</f>
        <v>04/11/2021</v>
      </c>
      <c r="E321" t="str">
        <f>""</f>
        <v/>
      </c>
      <c r="F321" t="str">
        <f>""</f>
        <v/>
      </c>
      <c r="G321" t="str">
        <f>"1136.79"</f>
        <v>1136.79</v>
      </c>
      <c r="H321" t="str">
        <f>"Consorzio di bonifica Bacchiglione"</f>
        <v>Consorzio di bonifica Bacchiglione</v>
      </c>
      <c r="I321" t="str">
        <f>"92223390284"</f>
        <v>92223390284</v>
      </c>
      <c r="J321" t="str">
        <f>"23-AFFIDAMENTO DIRETTO"</f>
        <v>23-AFFIDAMENTO DIRETTO</v>
      </c>
      <c r="K321" t="str">
        <f>"06/05/2021"</f>
        <v>06/05/2021</v>
      </c>
      <c r="L321" t="str">
        <f>"01/07/2021"</f>
        <v>01/07/2021</v>
      </c>
      <c r="M321" t="str">
        <f>""</f>
        <v/>
      </c>
      <c r="N321" t="str">
        <f>"AGSM Energia S.p.A. Lungadige Galtarossa 8 37133 Verona"</f>
        <v>AGSM Energia S.p.A. Lungadige Galtarossa 8 37133 Verona</v>
      </c>
      <c r="O321" t="str">
        <f>"AGSM Energia S.p.A. Lungadige Galtarossa 8 37133 Verona"</f>
        <v>AGSM Energia S.p.A. Lungadige Galtarossa 8 37133 Verona</v>
      </c>
      <c r="P321" t="str">
        <f>"Z5D19C347C: [1136.79€ ]"</f>
        <v>Z5D19C347C: [1136.79€ ]</v>
      </c>
      <c r="Q321" t="str">
        <f>""</f>
        <v/>
      </c>
      <c r="R321" t="str">
        <f>""</f>
        <v/>
      </c>
      <c r="S321" t="str">
        <f>""</f>
        <v/>
      </c>
      <c r="T321" t="str">
        <f>"https://portaletrasparenza.consorziobacchiglione.it/dettagli/attodigara/398/aumento-potenza-disponibile-da-kw-17-a-kw-33-dell-utenza-elettrica-presso-l-impianto-irriguo-sifone-galta.html"</f>
        <v>https://portaletrasparenza.consorziobacchiglione.it/dettagli/attodigara/398/aumento-potenza-disponibile-da-kw-17-a-kw-33-dell-utenza-elettrica-presso-l-impianto-irriguo-sifone-galta.html</v>
      </c>
      <c r="U321" t="str">
        <f>""</f>
        <v/>
      </c>
      <c r="V3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22" spans="1:22" x14ac:dyDescent="0.3">
      <c r="A322" t="str">
        <f>"Affidamento"</f>
        <v>Affidamento</v>
      </c>
      <c r="B322" t="str">
        <f>"OFFERTA DI CONSULENZA E SUPPORTO INFORMATICO SETTORE CATASTO"</f>
        <v>OFFERTA DI CONSULENZA E SUPPORTO INFORMATICO SETTORE CATASTO</v>
      </c>
      <c r="C322" t="str">
        <f>"ZDE19C2831"</f>
        <v>ZDE19C2831</v>
      </c>
      <c r="D322" t="str">
        <f>"04/11/2021"</f>
        <v>04/11/2021</v>
      </c>
      <c r="E322" t="str">
        <f>""</f>
        <v/>
      </c>
      <c r="F322" t="str">
        <f>""</f>
        <v/>
      </c>
      <c r="G322" t="str">
        <f>"5200.00"</f>
        <v>5200.00</v>
      </c>
      <c r="H322" t="str">
        <f>"Consorzio di bonifica Bacchiglione"</f>
        <v>Consorzio di bonifica Bacchiglione</v>
      </c>
      <c r="I322" t="str">
        <f>"92223390284"</f>
        <v>92223390284</v>
      </c>
      <c r="J322" t="str">
        <f>"23-AFFIDAMENTO DIRETTO"</f>
        <v>23-AFFIDAMENTO DIRETTO</v>
      </c>
      <c r="K322" t="str">
        <f>"06/05/2021"</f>
        <v>06/05/2021</v>
      </c>
      <c r="L322" t="str">
        <f>"14/02/2021"</f>
        <v>14/02/2021</v>
      </c>
      <c r="M322" t="str">
        <f>""</f>
        <v/>
      </c>
      <c r="N322" t="str">
        <f>"Ing. Gianni Furlan"</f>
        <v>Ing. Gianni Furlan</v>
      </c>
      <c r="O322" t="str">
        <f>"Ing. Gianni Furlan"</f>
        <v>Ing. Gianni Furlan</v>
      </c>
      <c r="P322" t="str">
        <f>"ZDE19C2831: [5200.00€ ]"</f>
        <v>ZDE19C2831: [5200.00€ ]</v>
      </c>
      <c r="Q322" t="str">
        <f>""</f>
        <v/>
      </c>
      <c r="R322" t="str">
        <f>""</f>
        <v/>
      </c>
      <c r="S322" t="str">
        <f>""</f>
        <v/>
      </c>
      <c r="T322" t="str">
        <f>"https://portaletrasparenza.consorziobacchiglione.it/dettagli/attodigara/397/offerta-di-consulenza-e-supporto-informatico-settore-catasto.html"</f>
        <v>https://portaletrasparenza.consorziobacchiglione.it/dettagli/attodigara/397/offerta-di-consulenza-e-supporto-informatico-settore-catasto.html</v>
      </c>
      <c r="U322" t="str">
        <f>""</f>
        <v/>
      </c>
      <c r="V3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23" spans="1:22" x14ac:dyDescent="0.3">
      <c r="A323" t="str">
        <f>"Affidamento"</f>
        <v>Affidamento</v>
      </c>
      <c r="B323" t="str">
        <f>"Rilievi dei ponti di Via Bersaglio e Via Padova a Bovolenta - Processo ID 021-16."</f>
        <v>Rilievi dei ponti di Via Bersaglio e Via Padova a Bovolenta - Processo ID 021-16.</v>
      </c>
      <c r="C323" t="str">
        <f>"Z5019C34E7"</f>
        <v>Z5019C34E7</v>
      </c>
      <c r="D323" t="str">
        <f>"04/11/2021"</f>
        <v>04/11/2021</v>
      </c>
      <c r="E323" t="str">
        <f>""</f>
        <v/>
      </c>
      <c r="F323" t="str">
        <f>""</f>
        <v/>
      </c>
      <c r="G323" t="str">
        <f>"945.00"</f>
        <v>945.00</v>
      </c>
      <c r="H323" t="str">
        <f>"Consorzio di bonifica Bacchiglione"</f>
        <v>Consorzio di bonifica Bacchiglione</v>
      </c>
      <c r="I323" t="str">
        <f>"92223390284"</f>
        <v>92223390284</v>
      </c>
      <c r="J323" t="str">
        <f>"23-AFFIDAMENTO DIRETTO"</f>
        <v>23-AFFIDAMENTO DIRETTO</v>
      </c>
      <c r="K323" t="str">
        <f>"06/05/2021"</f>
        <v>06/05/2021</v>
      </c>
      <c r="L323" t="str">
        <f>"13/07/2021"</f>
        <v>13/07/2021</v>
      </c>
      <c r="M323" t="str">
        <f>""</f>
        <v/>
      </c>
      <c r="N323" t="str">
        <f>"Gomiero e Zecchinato Associati -Studio professionale associato"</f>
        <v>Gomiero e Zecchinato Associati -Studio professionale associato</v>
      </c>
      <c r="O323" t="str">
        <f>"Gomiero e Zecchinato Associati -Studio professionale associato"</f>
        <v>Gomiero e Zecchinato Associati -Studio professionale associato</v>
      </c>
      <c r="P323" t="str">
        <f>"Z5019C34E7: [945.00€ ]"</f>
        <v>Z5019C34E7: [945.00€ ]</v>
      </c>
      <c r="Q323" t="str">
        <f>""</f>
        <v/>
      </c>
      <c r="R323" t="str">
        <f>""</f>
        <v/>
      </c>
      <c r="S323" t="str">
        <f>""</f>
        <v/>
      </c>
      <c r="T323" t="str">
        <f>"https://portaletrasparenza.consorziobacchiglione.it/dettagli/attodigara/395/rilievi-dei-ponti-di-via-bersaglio-e-via-padova-a-bovolenta-processo-id-021-16.html"</f>
        <v>https://portaletrasparenza.consorziobacchiglione.it/dettagli/attodigara/395/rilievi-dei-ponti-di-via-bersaglio-e-via-padova-a-bovolenta-processo-id-021-16.html</v>
      </c>
      <c r="U323" t="str">
        <f>""</f>
        <v/>
      </c>
      <c r="V3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24" spans="1:22" x14ac:dyDescent="0.3">
      <c r="A324" t="str">
        <f>"Affidamento"</f>
        <v>Affidamento</v>
      </c>
      <c r="B324" t="str">
        <f>"Servizio sostitutivo mensa personale periferico anno 2016 - UTO PRATIARCATI"</f>
        <v>Servizio sostitutivo mensa personale periferico anno 2016 - UTO PRATIARCATI</v>
      </c>
      <c r="C324" t="str">
        <f>"ZC719C068A"</f>
        <v>ZC719C068A</v>
      </c>
      <c r="D324" t="str">
        <f>"04/11/2021"</f>
        <v>04/11/2021</v>
      </c>
      <c r="E324" t="str">
        <f>""</f>
        <v/>
      </c>
      <c r="F324" t="str">
        <f>""</f>
        <v/>
      </c>
      <c r="G324" t="str">
        <f>"10909.09"</f>
        <v>10909.09</v>
      </c>
      <c r="H324" t="str">
        <f>"Consorzio di bonifica Bacchiglione"</f>
        <v>Consorzio di bonifica Bacchiglione</v>
      </c>
      <c r="I324" t="str">
        <f>"92223390284"</f>
        <v>92223390284</v>
      </c>
      <c r="J324" t="str">
        <f>"23-AFFIDAMENTO DIRETTO"</f>
        <v>23-AFFIDAMENTO DIRETTO</v>
      </c>
      <c r="K324" t="str">
        <f>"06/05/2021"</f>
        <v>06/05/2021</v>
      </c>
      <c r="L324" t="str">
        <f>"31/12/2021"</f>
        <v>31/12/2021</v>
      </c>
      <c r="M324" t="str">
        <f>""</f>
        <v/>
      </c>
      <c r="N324" t="str">
        <f>"LA POSTA S.R.L. - TRATTORIA LA BUSA"</f>
        <v>LA POSTA S.R.L. - TRATTORIA LA BUSA</v>
      </c>
      <c r="O324" t="str">
        <f>"LA POSTA S.R.L. - TRATTORIA LA BUSA"</f>
        <v>LA POSTA S.R.L. - TRATTORIA LA BUSA</v>
      </c>
      <c r="P324" t="str">
        <f>"ZC719C068A: [8761.00€ ]"</f>
        <v>ZC719C068A: [8761.00€ ]</v>
      </c>
      <c r="Q324" t="str">
        <f>""</f>
        <v/>
      </c>
      <c r="R324" t="str">
        <f>""</f>
        <v/>
      </c>
      <c r="S324" t="str">
        <f>""</f>
        <v/>
      </c>
      <c r="T324" t="str">
        <f>"https://portaletrasparenza.consorziobacchiglione.it/dettagli/attodigara/396/servizio-sostitutivo-mensa-personale-periferico-anno-2016-uto-pratiarcati.html"</f>
        <v>https://portaletrasparenza.consorziobacchiglione.it/dettagli/attodigara/396/servizio-sostitutivo-mensa-personale-periferico-anno-2016-uto-pratiarcati.html</v>
      </c>
      <c r="U324" t="str">
        <f>""</f>
        <v/>
      </c>
      <c r="V324">
        <f>(SUBSTITUTE(Tabella1[[#This Row],[Importo di aggiudicazione]],".",","))-(SUBSTITUTE(  SUBSTITUTE(          SUBSTITUTE(Tabella1[[#This Row],[Dettaglio somme liquidate]],Tabella1[[#This Row],[CIG]]&amp;": [",""),"€ ]",""),".",","))</f>
        <v>2148.09</v>
      </c>
    </row>
    <row r="325" spans="1:22" x14ac:dyDescent="0.3">
      <c r="A325" t="str">
        <f>"Affidamento"</f>
        <v>Affidamento</v>
      </c>
      <c r="B325" t="str">
        <f>"Smaltimento materiale derivante dall'espurgo di un tratto tombinato della Roggia Cinquantacinque"</f>
        <v>Smaltimento materiale derivante dall'espurgo di un tratto tombinato della Roggia Cinquantacinque</v>
      </c>
      <c r="C325" t="str">
        <f>"Z28319A4BB"</f>
        <v>Z28319A4BB</v>
      </c>
      <c r="D325" t="str">
        <f>"07/05/2021"</f>
        <v>07/05/2021</v>
      </c>
      <c r="E325" t="str">
        <f>""</f>
        <v/>
      </c>
      <c r="F325" t="str">
        <f>""</f>
        <v/>
      </c>
      <c r="G325" t="str">
        <f>"2000.00"</f>
        <v>2000.00</v>
      </c>
      <c r="H325" t="str">
        <f>"Consorzio di bonifica Bacchiglione"</f>
        <v>Consorzio di bonifica Bacchiglione</v>
      </c>
      <c r="I325" t="str">
        <f>"92223390284"</f>
        <v>92223390284</v>
      </c>
      <c r="J325" t="str">
        <f>"23-AFFIDAMENTO DIRETTO"</f>
        <v>23-AFFIDAMENTO DIRETTO</v>
      </c>
      <c r="K325" t="str">
        <f>"06/05/2021"</f>
        <v>06/05/2021</v>
      </c>
      <c r="L325" t="str">
        <f>"31/05/2021"</f>
        <v>31/05/2021</v>
      </c>
      <c r="M325" t="str">
        <f>""</f>
        <v/>
      </c>
      <c r="N325" t="str">
        <f>"Benetazzo E Bortoletto SRL Via Frassanedo 108 35020 Saonara (PD)"</f>
        <v>Benetazzo E Bortoletto SRL Via Frassanedo 108 35020 Saonara (PD)</v>
      </c>
      <c r="O325" t="str">
        <f>"Benetazzo E Bortoletto SRL Via Frassanedo 108 35020 Saonara (PD)"</f>
        <v>Benetazzo E Bortoletto SRL Via Frassanedo 108 35020 Saonara (PD)</v>
      </c>
      <c r="P325" t="str">
        <f>"Z28319A4BB: [2000.00€ ]"</f>
        <v>Z28319A4BB: [2000.00€ ]</v>
      </c>
      <c r="Q325" t="str">
        <f>""</f>
        <v/>
      </c>
      <c r="R325" t="str">
        <f>""</f>
        <v/>
      </c>
      <c r="S325" t="str">
        <f>""</f>
        <v/>
      </c>
      <c r="T325" t="str">
        <f>"https://portaletrasparenza.consorziobacchiglione.it/dettagli/attodigara/6857/smaltimento-materiale-derivante-dall-espurgo-di-un-tratto-tombinato-della-roggia-cinquantacinque.html"</f>
        <v>https://portaletrasparenza.consorziobacchiglione.it/dettagli/attodigara/6857/smaltimento-materiale-derivante-dall-espurgo-di-un-tratto-tombinato-della-roggia-cinquantacinque.html</v>
      </c>
      <c r="U325" t="str">
        <f>"https://portaletrasparenza.consorziobacchiglione.it/download/attodigara/6857/63ac4589735bc.PDF"</f>
        <v>https://portaletrasparenza.consorziobacchiglione.it/download/attodigara/6857/63ac4589735bc.PDF</v>
      </c>
      <c r="V3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26" spans="1:22" x14ac:dyDescent="0.3">
      <c r="A326" t="str">
        <f>"Affidamento"</f>
        <v>Affidamento</v>
      </c>
      <c r="B326" t="str">
        <f>"Manutenzione G.E n.2 e n. 4 presso Idrovora di Cambroso"</f>
        <v>Manutenzione G.E n.2 e n. 4 presso Idrovora di Cambroso</v>
      </c>
      <c r="C326" t="str">
        <f>"ZE3319A426"</f>
        <v>ZE3319A426</v>
      </c>
      <c r="D326" t="str">
        <f>"07/05/2021"</f>
        <v>07/05/2021</v>
      </c>
      <c r="E326" t="str">
        <f>""</f>
        <v/>
      </c>
      <c r="F326" t="str">
        <f>""</f>
        <v/>
      </c>
      <c r="G326" t="str">
        <f>"1573.80"</f>
        <v>1573.80</v>
      </c>
      <c r="H326" t="str">
        <f>"Consorzio di bonifica Bacchiglione"</f>
        <v>Consorzio di bonifica Bacchiglione</v>
      </c>
      <c r="I326" t="str">
        <f>"92223390284"</f>
        <v>92223390284</v>
      </c>
      <c r="J326" t="str">
        <f>"23-AFFIDAMENTO DIRETTO"</f>
        <v>23-AFFIDAMENTO DIRETTO</v>
      </c>
      <c r="K326" t="str">
        <f>"06/05/2021"</f>
        <v>06/05/2021</v>
      </c>
      <c r="L326" t="str">
        <f>"21/05/2021"</f>
        <v>21/05/2021</v>
      </c>
      <c r="M326" t="str">
        <f>""</f>
        <v/>
      </c>
      <c r="N326" t="str">
        <f>"Italmotori S.r.l. Corso Milano 83 35139 Padova"</f>
        <v>Italmotori S.r.l. Corso Milano 83 35139 Padova</v>
      </c>
      <c r="O326" t="str">
        <f>"Italmotori S.r.l. Corso Milano 83 35139 Padova"</f>
        <v>Italmotori S.r.l. Corso Milano 83 35139 Padova</v>
      </c>
      <c r="P326" t="str">
        <f>"ZE3319A426: [1573.80€ ]"</f>
        <v>ZE3319A426: [1573.80€ ]</v>
      </c>
      <c r="Q326" t="str">
        <f>""</f>
        <v/>
      </c>
      <c r="R326" t="str">
        <f>""</f>
        <v/>
      </c>
      <c r="S326" t="str">
        <f>""</f>
        <v/>
      </c>
      <c r="T326" t="str">
        <f>"https://portaletrasparenza.consorziobacchiglione.it/dettagli/attodigara/6856/manutenzione-g-e-n-2-e-n-4-presso-idrovora-di-cambroso.html"</f>
        <v>https://portaletrasparenza.consorziobacchiglione.it/dettagli/attodigara/6856/manutenzione-g-e-n-2-e-n-4-presso-idrovora-di-cambroso.html</v>
      </c>
      <c r="U326" t="str">
        <f>"https://portaletrasparenza.consorziobacchiglione.it/download/attodigara/6856/63ac4589023e9.PDF"</f>
        <v>https://portaletrasparenza.consorziobacchiglione.it/download/attodigara/6856/63ac4589023e9.PDF</v>
      </c>
      <c r="V3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27" spans="1:22" x14ac:dyDescent="0.3">
      <c r="A327" t="str">
        <f>"Affidamento"</f>
        <v>Affidamento</v>
      </c>
      <c r="B327" t="str">
        <f>"Manutenzione e riparazione mezzi con targa: AJ206BM, DN881SC, DA564ZE"</f>
        <v>Manutenzione e riparazione mezzi con targa: AJ206BM, DN881SC, DA564ZE</v>
      </c>
      <c r="C327" t="str">
        <f>"Z24319A2AC"</f>
        <v>Z24319A2AC</v>
      </c>
      <c r="D327" t="str">
        <f>"07/05/2021"</f>
        <v>07/05/2021</v>
      </c>
      <c r="E327" t="str">
        <f>""</f>
        <v/>
      </c>
      <c r="F327" t="str">
        <f>""</f>
        <v/>
      </c>
      <c r="G327" t="str">
        <f>"3024.71"</f>
        <v>3024.71</v>
      </c>
      <c r="H327" t="str">
        <f>"Consorzio di bonifica Bacchiglione"</f>
        <v>Consorzio di bonifica Bacchiglione</v>
      </c>
      <c r="I327" t="str">
        <f>"92223390284"</f>
        <v>92223390284</v>
      </c>
      <c r="J327" t="str">
        <f>"23-AFFIDAMENTO DIRETTO"</f>
        <v>23-AFFIDAMENTO DIRETTO</v>
      </c>
      <c r="K327" t="str">
        <f>"06/05/2021"</f>
        <v>06/05/2021</v>
      </c>
      <c r="L327" t="str">
        <f>"31/05/2021"</f>
        <v>31/05/2021</v>
      </c>
      <c r="M327" t="str">
        <f>""</f>
        <v/>
      </c>
      <c r="N327" t="str">
        <f>"Officina Autotreni Carraro Franco srl Via Gelsi 79 35028 Piove di Sacco PD"</f>
        <v>Officina Autotreni Carraro Franco srl Via Gelsi 79 35028 Piove di Sacco PD</v>
      </c>
      <c r="O327" t="str">
        <f>"Officina Autotreni Carraro Franco srl Via Gelsi 79 35028 Piove di Sacco PD"</f>
        <v>Officina Autotreni Carraro Franco srl Via Gelsi 79 35028 Piove di Sacco PD</v>
      </c>
      <c r="P327" t="str">
        <f>"Z24319A2AC: [3024.71€ ]"</f>
        <v>Z24319A2AC: [3024.71€ ]</v>
      </c>
      <c r="Q327" t="str">
        <f>""</f>
        <v/>
      </c>
      <c r="R327" t="str">
        <f>""</f>
        <v/>
      </c>
      <c r="S327" t="str">
        <f>""</f>
        <v/>
      </c>
      <c r="T327" t="str">
        <f>"https://portaletrasparenza.consorziobacchiglione.it/dettagli/attodigara/6854/manutenzione-e-riparazione-mezzi-con-targa-aj206bm-dn881sc-da564ze.html"</f>
        <v>https://portaletrasparenza.consorziobacchiglione.it/dettagli/attodigara/6854/manutenzione-e-riparazione-mezzi-con-targa-aj206bm-dn881sc-da564ze.html</v>
      </c>
      <c r="U327" t="str">
        <f>"https://portaletrasparenza.consorziobacchiglione.it/download/attodigara/6854/63ac4588bdf1f.PDF"</f>
        <v>https://portaletrasparenza.consorziobacchiglione.it/download/attodigara/6854/63ac4588bdf1f.PDF</v>
      </c>
      <c r="V32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28" spans="1:22" x14ac:dyDescent="0.3">
      <c r="A328" t="str">
        <f>"Affidamento"</f>
        <v>Affidamento</v>
      </c>
      <c r="B328" t="str">
        <f>"Fornitura MC 4,00 di calcestruzzo RCK 300 S4 per lavori presso cantiere in Via Magenta Ponte S.Nicolò"</f>
        <v>Fornitura MC 4,00 di calcestruzzo RCK 300 S4 per lavori presso cantiere in Via Magenta Ponte S.Nicolò</v>
      </c>
      <c r="C328" t="str">
        <f>"ZC7319A377"</f>
        <v>ZC7319A377</v>
      </c>
      <c r="D328" t="str">
        <f>"07/05/2021"</f>
        <v>07/05/2021</v>
      </c>
      <c r="E328" t="str">
        <f>""</f>
        <v/>
      </c>
      <c r="F328" t="str">
        <f>""</f>
        <v/>
      </c>
      <c r="G328" t="str">
        <f>"304.00"</f>
        <v>304.00</v>
      </c>
      <c r="H328" t="str">
        <f>"Consorzio di bonifica Bacchiglione"</f>
        <v>Consorzio di bonifica Bacchiglione</v>
      </c>
      <c r="I328" t="str">
        <f>"92223390284"</f>
        <v>92223390284</v>
      </c>
      <c r="J328" t="str">
        <f>"23-AFFIDAMENTO DIRETTO"</f>
        <v>23-AFFIDAMENTO DIRETTO</v>
      </c>
      <c r="K328" t="str">
        <f>"06/05/2021"</f>
        <v>06/05/2021</v>
      </c>
      <c r="L328" t="str">
        <f>"30/04/2021"</f>
        <v>30/04/2021</v>
      </c>
      <c r="M328" t="str">
        <f>""</f>
        <v/>
      </c>
      <c r="N328" t="str">
        <f>"Zagolin Giovanni s.r.l. Via Gelsi 56 35028 Piove di Sacco PD"</f>
        <v>Zagolin Giovanni s.r.l. Via Gelsi 56 35028 Piove di Sacco PD</v>
      </c>
      <c r="O328" t="str">
        <f>"Zagolin Giovanni s.r.l. Via Gelsi 56 35028 Piove di Sacco PD"</f>
        <v>Zagolin Giovanni s.r.l. Via Gelsi 56 35028 Piove di Sacco PD</v>
      </c>
      <c r="P328" t="str">
        <f>"ZC7319A377: [0.00€ ]"</f>
        <v>ZC7319A377: [0.00€ ]</v>
      </c>
      <c r="Q328" t="str">
        <f>""</f>
        <v/>
      </c>
      <c r="R328" t="str">
        <f>""</f>
        <v/>
      </c>
      <c r="S328" t="str">
        <f>""</f>
        <v/>
      </c>
      <c r="T328" t="str">
        <f>"https://portaletrasparenza.consorziobacchiglione.it/dettagli/attodigara/6855/fornitura-mc-4-00-di-calcestruzzo-rck-300-s4-per-lavori-presso-cantiere-in-via-magenta-ponte-s-nicolo.html"</f>
        <v>https://portaletrasparenza.consorziobacchiglione.it/dettagli/attodigara/6855/fornitura-mc-4-00-di-calcestruzzo-rck-300-s4-per-lavori-presso-cantiere-in-via-magenta-ponte-s-nicolo.html</v>
      </c>
      <c r="U328" t="str">
        <f>"https://portaletrasparenza.consorziobacchiglione.it/download/attodigara/6855/62a209f21ffff.PDF"</f>
        <v>https://portaletrasparenza.consorziobacchiglione.it/download/attodigara/6855/62a209f21ffff.PDF</v>
      </c>
      <c r="V328">
        <f>(SUBSTITUTE(Tabella1[[#This Row],[Importo di aggiudicazione]],".",","))-(SUBSTITUTE(  SUBSTITUTE(          SUBSTITUTE(Tabella1[[#This Row],[Dettaglio somme liquidate]],Tabella1[[#This Row],[CIG]]&amp;": [",""),"€ ]",""),".",","))</f>
        <v>304</v>
      </c>
    </row>
    <row r="329" spans="1:22" x14ac:dyDescent="0.3">
      <c r="A329" t="str">
        <f>"Affidamento"</f>
        <v>Affidamento</v>
      </c>
      <c r="B329" t="str">
        <f>"Lavori di sigillatura fessure e controllo tenute panconature presso sostegno Montalbano."</f>
        <v>Lavori di sigillatura fessure e controllo tenute panconature presso sostegno Montalbano.</v>
      </c>
      <c r="C329" t="str">
        <f>"ZB11A2C228"</f>
        <v>ZB11A2C228</v>
      </c>
      <c r="D329" t="str">
        <f>"04/11/2021"</f>
        <v>04/11/2021</v>
      </c>
      <c r="E329" t="str">
        <f>""</f>
        <v/>
      </c>
      <c r="F329" t="str">
        <f>""</f>
        <v/>
      </c>
      <c r="G329" t="str">
        <f>"19800.00"</f>
        <v>19800.00</v>
      </c>
      <c r="H329" t="str">
        <f>"Consorzio di bonifica Bacchiglione"</f>
        <v>Consorzio di bonifica Bacchiglione</v>
      </c>
      <c r="I329" t="str">
        <f>"92223390284"</f>
        <v>92223390284</v>
      </c>
      <c r="J329" t="str">
        <f>"23-AFFIDAMENTO DIRETTO"</f>
        <v>23-AFFIDAMENTO DIRETTO</v>
      </c>
      <c r="K329" t="str">
        <f>"06/06/2021"</f>
        <v>06/06/2021</v>
      </c>
      <c r="L329" t="str">
        <f>"01/08/2021"</f>
        <v>01/08/2021</v>
      </c>
      <c r="M329" t="str">
        <f>""</f>
        <v/>
      </c>
      <c r="N329" t="str">
        <f>"Trasmar SRL Via delle Macchine 49 30175 Porto Marghera VE"</f>
        <v>Trasmar SRL Via delle Macchine 49 30175 Porto Marghera VE</v>
      </c>
      <c r="O329" t="str">
        <f>"Trasmar SRL Via delle Macchine 49 30175 Porto Marghera VE"</f>
        <v>Trasmar SRL Via delle Macchine 49 30175 Porto Marghera VE</v>
      </c>
      <c r="P329" t="str">
        <f>"ZB11A2C228: [19800.00€ ]"</f>
        <v>ZB11A2C228: [19800.00€ ]</v>
      </c>
      <c r="Q329" t="str">
        <f>""</f>
        <v/>
      </c>
      <c r="R329" t="str">
        <f>""</f>
        <v/>
      </c>
      <c r="S329" t="str">
        <f>""</f>
        <v/>
      </c>
      <c r="T329" t="str">
        <f>"https://portaletrasparenza.consorziobacchiglione.it/dettagli/attodigara/503/lavori-di-sigillatura-fessure-e-controllo-tenute-panconature-presso-sostegno-montalbano.html"</f>
        <v>https://portaletrasparenza.consorziobacchiglione.it/dettagli/attodigara/503/lavori-di-sigillatura-fessure-e-controllo-tenute-panconature-presso-sostegno-montalbano.html</v>
      </c>
      <c r="U329" t="str">
        <f>""</f>
        <v/>
      </c>
      <c r="V3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30" spans="1:22" x14ac:dyDescent="0.3">
      <c r="A330" t="str">
        <f>"Affidamento"</f>
        <v>Affidamento</v>
      </c>
      <c r="B330" t="str">
        <f>"Fornitura materiale edile per sostegno Montalbano, scolo Valli, Idrovora Bernio."</f>
        <v>Fornitura materiale edile per sostegno Montalbano, scolo Valli, Idrovora Bernio.</v>
      </c>
      <c r="C330" t="str">
        <f>"Z671A2C0D7"</f>
        <v>Z671A2C0D7</v>
      </c>
      <c r="D330" t="str">
        <f>"04/11/2021"</f>
        <v>04/11/2021</v>
      </c>
      <c r="E330" t="str">
        <f>""</f>
        <v/>
      </c>
      <c r="F330" t="str">
        <f>""</f>
        <v/>
      </c>
      <c r="G330" t="str">
        <f>"327.08"</f>
        <v>327.08</v>
      </c>
      <c r="H330" t="str">
        <f>"Consorzio di bonifica Bacchiglione"</f>
        <v>Consorzio di bonifica Bacchiglione</v>
      </c>
      <c r="I330" t="str">
        <f>"92223390284"</f>
        <v>92223390284</v>
      </c>
      <c r="J330" t="str">
        <f>"23-AFFIDAMENTO DIRETTO"</f>
        <v>23-AFFIDAMENTO DIRETTO</v>
      </c>
      <c r="K330" t="str">
        <f>"06/06/2021"</f>
        <v>06/06/2021</v>
      </c>
      <c r="L330" t="str">
        <f>"18/07/2021"</f>
        <v>18/07/2021</v>
      </c>
      <c r="M330" t="str">
        <f>""</f>
        <v/>
      </c>
      <c r="N330" t="str">
        <f>"Idronord s.r.l. Via delle Industrie 3C 30036 Santa Maria Di Sala VE"</f>
        <v>Idronord s.r.l. Via delle Industrie 3C 30036 Santa Maria Di Sala VE</v>
      </c>
      <c r="O330" t="str">
        <f>"Idronord s.r.l. Via delle Industrie 3C 30036 Santa Maria Di Sala VE"</f>
        <v>Idronord s.r.l. Via delle Industrie 3C 30036 Santa Maria Di Sala VE</v>
      </c>
      <c r="P330" t="str">
        <f>"Z671A2C0D7: [327.08€ ]"</f>
        <v>Z671A2C0D7: [327.08€ ]</v>
      </c>
      <c r="Q330" t="str">
        <f>""</f>
        <v/>
      </c>
      <c r="R330" t="str">
        <f>""</f>
        <v/>
      </c>
      <c r="S330" t="str">
        <f>""</f>
        <v/>
      </c>
      <c r="T330" t="str">
        <f>"https://portaletrasparenza.consorziobacchiglione.it/dettagli/attodigara/502/fornitura-materiale-edile-per-sostegno-montalbano-scolo-valli-idrovora-bernio.html"</f>
        <v>https://portaletrasparenza.consorziobacchiglione.it/dettagli/attodigara/502/fornitura-materiale-edile-per-sostegno-montalbano-scolo-valli-idrovora-bernio.html</v>
      </c>
      <c r="U330" t="str">
        <f>""</f>
        <v/>
      </c>
      <c r="V3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31" spans="1:22" x14ac:dyDescent="0.3">
      <c r="A331" t="str">
        <f>"Affidamento"</f>
        <v>Affidamento</v>
      </c>
      <c r="B331" t="str">
        <f>"Noleggio Miniescavatore cingolato Kubota per lavori su scolo collettore irriguo di Limena."</f>
        <v>Noleggio Miniescavatore cingolato Kubota per lavori su scolo collettore irriguo di Limena.</v>
      </c>
      <c r="C331" t="str">
        <f>"Z1D1A2BE8B"</f>
        <v>Z1D1A2BE8B</v>
      </c>
      <c r="D331" t="str">
        <f>"04/11/2021"</f>
        <v>04/11/2021</v>
      </c>
      <c r="E331" t="str">
        <f>""</f>
        <v/>
      </c>
      <c r="F331" t="str">
        <f>""</f>
        <v/>
      </c>
      <c r="G331" t="str">
        <f>"720.00"</f>
        <v>720.00</v>
      </c>
      <c r="H331" t="str">
        <f>"Consorzio di bonifica Bacchiglione"</f>
        <v>Consorzio di bonifica Bacchiglione</v>
      </c>
      <c r="I331" t="str">
        <f>"92223390284"</f>
        <v>92223390284</v>
      </c>
      <c r="J331" t="str">
        <f>"23-AFFIDAMENTO DIRETTO"</f>
        <v>23-AFFIDAMENTO DIRETTO</v>
      </c>
      <c r="K331" t="str">
        <f>"06/06/2021"</f>
        <v>06/06/2021</v>
      </c>
      <c r="L331" t="str">
        <f>"11/07/2021"</f>
        <v>11/07/2021</v>
      </c>
      <c r="M331" t="str">
        <f>""</f>
        <v/>
      </c>
      <c r="N331" t="str">
        <f>"Sorme Noleggi s.a.s. Via Monache 21 35030 Selvazzano Dentro PD"</f>
        <v>Sorme Noleggi s.a.s. Via Monache 21 35030 Selvazzano Dentro PD</v>
      </c>
      <c r="O331" t="str">
        <f>"Sorme Noleggi s.a.s. Via Monache 21 35030 Selvazzano Dentro PD"</f>
        <v>Sorme Noleggi s.a.s. Via Monache 21 35030 Selvazzano Dentro PD</v>
      </c>
      <c r="P331" t="str">
        <f>"Z1D1A2BE8B: [720.00€ ]"</f>
        <v>Z1D1A2BE8B: [720.00€ ]</v>
      </c>
      <c r="Q331" t="str">
        <f>""</f>
        <v/>
      </c>
      <c r="R331" t="str">
        <f>""</f>
        <v/>
      </c>
      <c r="S331" t="str">
        <f>""</f>
        <v/>
      </c>
      <c r="T331" t="str">
        <f>"https://portaletrasparenza.consorziobacchiglione.it/dettagli/attodigara/501/noleggio-miniescavatore-cingolato-kubota-per-lavori-su-scolo-collettore-irriguo-di-limena.html"</f>
        <v>https://portaletrasparenza.consorziobacchiglione.it/dettagli/attodigara/501/noleggio-miniescavatore-cingolato-kubota-per-lavori-su-scolo-collettore-irriguo-di-limena.html</v>
      </c>
      <c r="U331" t="str">
        <f>""</f>
        <v/>
      </c>
      <c r="V3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32" spans="1:22" x14ac:dyDescent="0.3">
      <c r="A332" t="str">
        <f>"Affidamento"</f>
        <v>Affidamento</v>
      </c>
      <c r="B332" t="str">
        <f>"Fornitura n 2 pneumatici per mezzo con targa: AJR631"</f>
        <v>Fornitura n 2 pneumatici per mezzo con targa: AJR631</v>
      </c>
      <c r="C332" t="str">
        <f>"ZDE1A2BCA3"</f>
        <v>ZDE1A2BCA3</v>
      </c>
      <c r="D332" t="str">
        <f>"04/11/2021"</f>
        <v>04/11/2021</v>
      </c>
      <c r="E332" t="str">
        <f>""</f>
        <v/>
      </c>
      <c r="F332" t="str">
        <f>""</f>
        <v/>
      </c>
      <c r="G332" t="str">
        <f>"1405.60"</f>
        <v>1405.60</v>
      </c>
      <c r="H332" t="str">
        <f>"Consorzio di bonifica Bacchiglione"</f>
        <v>Consorzio di bonifica Bacchiglione</v>
      </c>
      <c r="I332" t="str">
        <f>"92223390284"</f>
        <v>92223390284</v>
      </c>
      <c r="J332" t="str">
        <f>"23-AFFIDAMENTO DIRETTO"</f>
        <v>23-AFFIDAMENTO DIRETTO</v>
      </c>
      <c r="K332" t="str">
        <f>"06/06/2021"</f>
        <v>06/06/2021</v>
      </c>
      <c r="L332" t="str">
        <f>"01/08/2021"</f>
        <v>01/08/2021</v>
      </c>
      <c r="M332" t="str">
        <f>""</f>
        <v/>
      </c>
      <c r="N332" t="str">
        <f>"Galesso Roberto Via San Rocco 52B 35028 Piove di Sacco PD"</f>
        <v>Galesso Roberto Via San Rocco 52B 35028 Piove di Sacco PD</v>
      </c>
      <c r="O332" t="str">
        <f>"Galesso Roberto Via San Rocco 52B 35028 Piove di Sacco PD"</f>
        <v>Galesso Roberto Via San Rocco 52B 35028 Piove di Sacco PD</v>
      </c>
      <c r="P332" t="str">
        <f>"ZDE1A2BCA3: [1405.60€ ]"</f>
        <v>ZDE1A2BCA3: [1405.60€ ]</v>
      </c>
      <c r="Q332" t="str">
        <f>""</f>
        <v/>
      </c>
      <c r="R332" t="str">
        <f>""</f>
        <v/>
      </c>
      <c r="S332" t="str">
        <f>""</f>
        <v/>
      </c>
      <c r="T332" t="str">
        <f>"https://portaletrasparenza.consorziobacchiglione.it/dettagli/attodigara/500/fornitura-n-2-pneumatici-per-mezzo-con-targa-ajr631.html"</f>
        <v>https://portaletrasparenza.consorziobacchiglione.it/dettagli/attodigara/500/fornitura-n-2-pneumatici-per-mezzo-con-targa-ajr631.html</v>
      </c>
      <c r="U332" t="str">
        <f>""</f>
        <v/>
      </c>
      <c r="V3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33" spans="1:22" x14ac:dyDescent="0.3">
      <c r="A333" t="str">
        <f>"Affidamento"</f>
        <v>Affidamento</v>
      </c>
      <c r="B333" t="str">
        <f>"CARTUCCE PER STAMPANTI UFFICI RAGIONERIA E CATASTO"</f>
        <v>CARTUCCE PER STAMPANTI UFFICI RAGIONERIA E CATASTO</v>
      </c>
      <c r="C333" t="str">
        <f>"Z031A15C73"</f>
        <v>Z031A15C73</v>
      </c>
      <c r="D333" t="str">
        <f>"04/11/2021"</f>
        <v>04/11/2021</v>
      </c>
      <c r="E333" t="str">
        <f>""</f>
        <v/>
      </c>
      <c r="F333" t="str">
        <f>""</f>
        <v/>
      </c>
      <c r="G333" t="str">
        <f>"859.00"</f>
        <v>859.00</v>
      </c>
      <c r="H333" t="str">
        <f>"Consorzio di bonifica Bacchiglione"</f>
        <v>Consorzio di bonifica Bacchiglione</v>
      </c>
      <c r="I333" t="str">
        <f>"92223390284"</f>
        <v>92223390284</v>
      </c>
      <c r="J333" t="str">
        <f>"23-AFFIDAMENTO DIRETTO"</f>
        <v>23-AFFIDAMENTO DIRETTO</v>
      </c>
      <c r="K333" t="str">
        <f>"06/06/2021"</f>
        <v>06/06/2021</v>
      </c>
      <c r="L333" t="str">
        <f>"18/08/2021"</f>
        <v>18/08/2021</v>
      </c>
      <c r="M333" t="str">
        <f>""</f>
        <v/>
      </c>
      <c r="N333" t="str">
        <f>"TPH ELETTRONICA S.A.S. | FR S.N.C."</f>
        <v>TPH ELETTRONICA S.A.S. | FR S.N.C.</v>
      </c>
      <c r="O333" t="str">
        <f>"FR S.N.C."</f>
        <v>FR S.N.C.</v>
      </c>
      <c r="P333" t="str">
        <f>"Z031A15C73: [859.00€ ]"</f>
        <v>Z031A15C73: [859.00€ ]</v>
      </c>
      <c r="Q333" t="str">
        <f>""</f>
        <v/>
      </c>
      <c r="R333" t="str">
        <f>""</f>
        <v/>
      </c>
      <c r="S333" t="str">
        <f>""</f>
        <v/>
      </c>
      <c r="T333" t="str">
        <f>"https://portaletrasparenza.consorziobacchiglione.it/dettagli/attodigara/499/cartucce-per-stampanti-uffici-ragioneria-e-catasto.html"</f>
        <v>https://portaletrasparenza.consorziobacchiglione.it/dettagli/attodigara/499/cartucce-per-stampanti-uffici-ragioneria-e-catasto.html</v>
      </c>
      <c r="U333" t="str">
        <f>""</f>
        <v/>
      </c>
      <c r="V3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34" spans="1:22" x14ac:dyDescent="0.3">
      <c r="A334" t="str">
        <f>"Affidamento"</f>
        <v>Affidamento</v>
      </c>
      <c r="B334" t="str">
        <f>"Lavori di riapertura bretella di collegamento tra Via Po e Via tergola ed ulteriori opere, richieste dal Comune di Padova, a completamento dei lavori di sistemazione della viabilità comunale presso Via Istria, Via Po e"</f>
        <v>Lavori di riapertura bretella di collegamento tra Via Po e Via tergola ed ulteriori opere, richieste dal Comune di Padova, a completamento dei lavori di sistemazione della viabilità comunale presso Via Istria, Via Po e</v>
      </c>
      <c r="C334" t="str">
        <f>"Z1E1A2BFCB"</f>
        <v>Z1E1A2BFCB</v>
      </c>
      <c r="D334" t="str">
        <f>"04/11/2021"</f>
        <v>04/11/2021</v>
      </c>
      <c r="E334" t="str">
        <f>""</f>
        <v/>
      </c>
      <c r="F334" t="str">
        <f>""</f>
        <v/>
      </c>
      <c r="G334" t="str">
        <f>"22693.91"</f>
        <v>22693.91</v>
      </c>
      <c r="H334" t="str">
        <f>"Consorzio di bonifica Bacchiglione"</f>
        <v>Consorzio di bonifica Bacchiglione</v>
      </c>
      <c r="I334" t="str">
        <f>"92223390284"</f>
        <v>92223390284</v>
      </c>
      <c r="J334" t="str">
        <f>"23-AFFIDAMENTO DIRETTO"</f>
        <v>23-AFFIDAMENTO DIRETTO</v>
      </c>
      <c r="K334" t="str">
        <f>"06/06/2021"</f>
        <v>06/06/2021</v>
      </c>
      <c r="L334" t="str">
        <f>"22/06/2021"</f>
        <v>22/06/2021</v>
      </c>
      <c r="M334" t="str">
        <f>""</f>
        <v/>
      </c>
      <c r="N334" t="str">
        <f>"I.C.S. Impresa Conglomerati Strade"</f>
        <v>I.C.S. Impresa Conglomerati Strade</v>
      </c>
      <c r="O334" t="str">
        <f>"I.C.S. Impresa Conglomerati Strade"</f>
        <v>I.C.S. Impresa Conglomerati Strade</v>
      </c>
      <c r="P334" t="str">
        <f>"Z1E1A2BFCB: [22693.91€ ]"</f>
        <v>Z1E1A2BFCB: [22693.91€ ]</v>
      </c>
      <c r="Q334" t="str">
        <f>""</f>
        <v/>
      </c>
      <c r="R334" t="str">
        <f>""</f>
        <v/>
      </c>
      <c r="S334" t="str">
        <f>""</f>
        <v/>
      </c>
      <c r="T334" t="s">
        <v>46</v>
      </c>
      <c r="U334" t="str">
        <f>""</f>
        <v/>
      </c>
      <c r="V3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35" spans="1:22" x14ac:dyDescent="0.3">
      <c r="A335" t="str">
        <f>"Affidamento"</f>
        <v>Affidamento</v>
      </c>
      <c r="B335" t="str">
        <f>"ID 018-15 - LAVORI DI COMPLETAMENTO DELL'IMPIANTO IDROVORO ALTIPIANO, CON SCARICO NEL FIUME BRENTA IN COMUNE DI CODEVIGO - Fornitura e posa nuovo sistema di allarme per l'impianto idrovoro Altipiano - Processo ID 018-15."</f>
        <v>ID 018-15 - LAVORI DI COMPLETAMENTO DELL'IMPIANTO IDROVORO ALTIPIANO, CON SCARICO NEL FIUME BRENTA IN COMUNE DI CODEVIGO - Fornitura e posa nuovo sistema di allarme per l'impianto idrovoro Altipiano - Processo ID 018-15.</v>
      </c>
      <c r="C335" t="str">
        <f>"ZE2325FAF3"</f>
        <v>ZE2325FAF3</v>
      </c>
      <c r="D335" t="str">
        <f>"06/07/2021"</f>
        <v>06/07/2021</v>
      </c>
      <c r="E335" t="str">
        <f>""</f>
        <v/>
      </c>
      <c r="F335" t="str">
        <f>""</f>
        <v/>
      </c>
      <c r="G335" t="str">
        <f>"8613.85"</f>
        <v>8613.85</v>
      </c>
      <c r="H335" t="str">
        <f>"Consorzio di bonifica Bacchiglione"</f>
        <v>Consorzio di bonifica Bacchiglione</v>
      </c>
      <c r="I335" t="str">
        <f>"92223390284"</f>
        <v>92223390284</v>
      </c>
      <c r="J335" t="str">
        <f>"23-AFFIDAMENTO DIRETTO"</f>
        <v>23-AFFIDAMENTO DIRETTO</v>
      </c>
      <c r="K335" t="str">
        <f>"06/07/2021"</f>
        <v>06/07/2021</v>
      </c>
      <c r="L335" t="str">
        <f>"07/09/2021"</f>
        <v>07/09/2021</v>
      </c>
      <c r="M335" t="str">
        <f>""</f>
        <v/>
      </c>
      <c r="N335" t="str">
        <f>"Picello s.r.l."</f>
        <v>Picello s.r.l.</v>
      </c>
      <c r="O335" t="str">
        <f>"Picello s.r.l."</f>
        <v>Picello s.r.l.</v>
      </c>
      <c r="P335" t="s">
        <v>141</v>
      </c>
      <c r="Q335" t="str">
        <f>""</f>
        <v/>
      </c>
      <c r="R335" t="str">
        <f>""</f>
        <v/>
      </c>
      <c r="S335" t="str">
        <f>""</f>
        <v/>
      </c>
      <c r="T335" t="s">
        <v>95</v>
      </c>
      <c r="U335" t="str">
        <f>"https://portaletrasparenza.consorziobacchiglione.it/download/attodigara/6995/63ac45a4ac089.PDF"</f>
        <v>https://portaletrasparenza.consorziobacchiglione.it/download/attodigara/6995/63ac45a4ac089.PDF</v>
      </c>
      <c r="V3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36" spans="1:22" x14ac:dyDescent="0.3">
      <c r="A336" t="str">
        <f>"Affidamento"</f>
        <v>Affidamento</v>
      </c>
      <c r="B336" t="str">
        <f>"Manutenzione e riparazione mezzo con targa: EP107XC"</f>
        <v>Manutenzione e riparazione mezzo con targa: EP107XC</v>
      </c>
      <c r="C336" t="str">
        <f>"ZA4325FAE8"</f>
        <v>ZA4325FAE8</v>
      </c>
      <c r="D336" t="str">
        <f>"19/07/2021"</f>
        <v>19/07/2021</v>
      </c>
      <c r="E336" t="str">
        <f>""</f>
        <v/>
      </c>
      <c r="F336" t="str">
        <f>""</f>
        <v/>
      </c>
      <c r="G336" t="str">
        <f>"2404.65"</f>
        <v>2404.65</v>
      </c>
      <c r="H336" t="str">
        <f>"Consorzio di bonifica Bacchiglione"</f>
        <v>Consorzio di bonifica Bacchiglione</v>
      </c>
      <c r="I336" t="str">
        <f>"92223390284"</f>
        <v>92223390284</v>
      </c>
      <c r="J336" t="str">
        <f>"23-AFFIDAMENTO DIRETTO"</f>
        <v>23-AFFIDAMENTO DIRETTO</v>
      </c>
      <c r="K336" t="str">
        <f>"06/07/2021"</f>
        <v>06/07/2021</v>
      </c>
      <c r="L336" t="str">
        <f>"31/07/2021"</f>
        <v>31/07/2021</v>
      </c>
      <c r="M336" t="str">
        <f>""</f>
        <v/>
      </c>
      <c r="N336" t="str">
        <f>"Officina Autotreni Carraro Franco srl Via Gelsi 79 35028 Piove di Sacco PD"</f>
        <v>Officina Autotreni Carraro Franco srl Via Gelsi 79 35028 Piove di Sacco PD</v>
      </c>
      <c r="O336" t="str">
        <f>"Officina Autotreni Carraro Franco srl Via Gelsi 79 35028 Piove di Sacco PD"</f>
        <v>Officina Autotreni Carraro Franco srl Via Gelsi 79 35028 Piove di Sacco PD</v>
      </c>
      <c r="P336" t="str">
        <f>"ZA4325FAE8: [2404.65€ ]"</f>
        <v>ZA4325FAE8: [2404.65€ ]</v>
      </c>
      <c r="Q336" t="str">
        <f>""</f>
        <v/>
      </c>
      <c r="R336" t="str">
        <f>""</f>
        <v/>
      </c>
      <c r="S336" t="str">
        <f>""</f>
        <v/>
      </c>
      <c r="T336" t="str">
        <f>"https://portaletrasparenza.consorziobacchiglione.it/dettagli/attodigara/6998/manutenzione-e-riparazione-mezzo-con-targa-ep107xc.html"</f>
        <v>https://portaletrasparenza.consorziobacchiglione.it/dettagli/attodigara/6998/manutenzione-e-riparazione-mezzo-con-targa-ep107xc.html</v>
      </c>
      <c r="U336" t="str">
        <f>"https://portaletrasparenza.consorziobacchiglione.it/download/attodigara/6998/63ac45a6c3cd1.PDF"</f>
        <v>https://portaletrasparenza.consorziobacchiglione.it/download/attodigara/6998/63ac45a6c3cd1.PDF</v>
      </c>
      <c r="V3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37" spans="1:22" x14ac:dyDescent="0.3">
      <c r="A337" t="str">
        <f>"Affidamento"</f>
        <v>Affidamento</v>
      </c>
      <c r="B337" t="str">
        <f>"Manutenzione e riparazione mezzo targato: FS455SM"</f>
        <v>Manutenzione e riparazione mezzo targato: FS455SM</v>
      </c>
      <c r="C337" t="str">
        <f>"Z45325F8D5"</f>
        <v>Z45325F8D5</v>
      </c>
      <c r="D337" t="str">
        <f>"19/07/2021"</f>
        <v>19/07/2021</v>
      </c>
      <c r="E337" t="str">
        <f>""</f>
        <v/>
      </c>
      <c r="F337" t="str">
        <f>""</f>
        <v/>
      </c>
      <c r="G337" t="str">
        <f>"275.63"</f>
        <v>275.63</v>
      </c>
      <c r="H337" t="str">
        <f>"Consorzio di bonifica Bacchiglione"</f>
        <v>Consorzio di bonifica Bacchiglione</v>
      </c>
      <c r="I337" t="str">
        <f>"92223390284"</f>
        <v>92223390284</v>
      </c>
      <c r="J337" t="str">
        <f>"23-AFFIDAMENTO DIRETTO"</f>
        <v>23-AFFIDAMENTO DIRETTO</v>
      </c>
      <c r="K337" t="str">
        <f>"06/07/2021"</f>
        <v>06/07/2021</v>
      </c>
      <c r="L337" t="str">
        <f>"27/07/2021"</f>
        <v>27/07/2021</v>
      </c>
      <c r="M337" t="str">
        <f>""</f>
        <v/>
      </c>
      <c r="N337" t="str">
        <f>"Elettrodiesel Peruzzo s.r.l. Via Tevere 30 35135 Padova"</f>
        <v>Elettrodiesel Peruzzo s.r.l. Via Tevere 30 35135 Padova</v>
      </c>
      <c r="O337" t="str">
        <f>"Elettrodiesel Peruzzo s.r.l. Via Tevere 30 35135 Padova"</f>
        <v>Elettrodiesel Peruzzo s.r.l. Via Tevere 30 35135 Padova</v>
      </c>
      <c r="P337" t="str">
        <f>"Z45325F8D5: [275.63€ ]"</f>
        <v>Z45325F8D5: [275.63€ ]</v>
      </c>
      <c r="Q337" t="str">
        <f>""</f>
        <v/>
      </c>
      <c r="R337" t="str">
        <f>""</f>
        <v/>
      </c>
      <c r="S337" t="str">
        <f>""</f>
        <v/>
      </c>
      <c r="T337" t="str">
        <f>"https://portaletrasparenza.consorziobacchiglione.it/dettagli/attodigara/6997/manutenzione-e-riparazione-mezzo-targato-fs455sm.html"</f>
        <v>https://portaletrasparenza.consorziobacchiglione.it/dettagli/attodigara/6997/manutenzione-e-riparazione-mezzo-targato-fs455sm.html</v>
      </c>
      <c r="U337" t="str">
        <f>"https://portaletrasparenza.consorziobacchiglione.it/download/attodigara/6997/63ac45a68af0b.PDF"</f>
        <v>https://portaletrasparenza.consorziobacchiglione.it/download/attodigara/6997/63ac45a68af0b.PDF</v>
      </c>
      <c r="V33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38" spans="1:22" x14ac:dyDescent="0.3">
      <c r="A338" t="str">
        <f>"Affidamento"</f>
        <v>Affidamento</v>
      </c>
      <c r="B338" t="str">
        <f>"Sostituzione parabrezza su mezzo targato: FF284VN"</f>
        <v>Sostituzione parabrezza su mezzo targato: FF284VN</v>
      </c>
      <c r="C338" t="str">
        <f>"Z8E325EB2C"</f>
        <v>Z8E325EB2C</v>
      </c>
      <c r="D338" t="str">
        <f>"19/07/2021"</f>
        <v>19/07/2021</v>
      </c>
      <c r="E338" t="str">
        <f>""</f>
        <v/>
      </c>
      <c r="F338" t="str">
        <f>""</f>
        <v/>
      </c>
      <c r="G338" t="str">
        <f>"495.25"</f>
        <v>495.25</v>
      </c>
      <c r="H338" t="str">
        <f>"Consorzio di bonifica Bacchiglione"</f>
        <v>Consorzio di bonifica Bacchiglione</v>
      </c>
      <c r="I338" t="str">
        <f>"92223390284"</f>
        <v>92223390284</v>
      </c>
      <c r="J338" t="str">
        <f>"23-AFFIDAMENTO DIRETTO"</f>
        <v>23-AFFIDAMENTO DIRETTO</v>
      </c>
      <c r="K338" t="str">
        <f>"06/07/2021"</f>
        <v>06/07/2021</v>
      </c>
      <c r="L338" t="str">
        <f>"27/07/2021"</f>
        <v>27/07/2021</v>
      </c>
      <c r="M338" t="str">
        <f>""</f>
        <v/>
      </c>
      <c r="N338" t="str">
        <f>"Carrozzeria Biasion S.N.C. Via Bassa 45 35020 Arzergrande PD"</f>
        <v>Carrozzeria Biasion S.N.C. Via Bassa 45 35020 Arzergrande PD</v>
      </c>
      <c r="O338" t="str">
        <f>"Carrozzeria Biasion S.N.C. Via Bassa 45 35020 Arzergrande PD"</f>
        <v>Carrozzeria Biasion S.N.C. Via Bassa 45 35020 Arzergrande PD</v>
      </c>
      <c r="P338" t="str">
        <f>"Z8E325EB2C: [495.25€ ]"</f>
        <v>Z8E325EB2C: [495.25€ ]</v>
      </c>
      <c r="Q338" t="str">
        <f>""</f>
        <v/>
      </c>
      <c r="R338" t="str">
        <f>""</f>
        <v/>
      </c>
      <c r="S338" t="str">
        <f>""</f>
        <v/>
      </c>
      <c r="T338" t="str">
        <f>"https://portaletrasparenza.consorziobacchiglione.it/dettagli/attodigara/6996/sostituzione-parabrezza-su-mezzo-targato-ff284vn.html"</f>
        <v>https://portaletrasparenza.consorziobacchiglione.it/dettagli/attodigara/6996/sostituzione-parabrezza-su-mezzo-targato-ff284vn.html</v>
      </c>
      <c r="U338" t="str">
        <f>"https://portaletrasparenza.consorziobacchiglione.it/download/attodigara/6996/63ac45a651ddc.PDF"</f>
        <v>https://portaletrasparenza.consorziobacchiglione.it/download/attodigara/6996/63ac45a651ddc.PDF</v>
      </c>
      <c r="V33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39" spans="1:22" x14ac:dyDescent="0.3">
      <c r="A339" t="str">
        <f>"Affidamento"</f>
        <v>Affidamento</v>
      </c>
      <c r="B339" t="str">
        <f>"Sostituzione paraurti posteriore su mezzo targato: FF936PM"</f>
        <v>Sostituzione paraurti posteriore su mezzo targato: FF936PM</v>
      </c>
      <c r="C339" t="str">
        <f>"ZEF32B8545"</f>
        <v>ZEF32B8545</v>
      </c>
      <c r="D339" t="str">
        <f>"09/08/2021"</f>
        <v>09/08/2021</v>
      </c>
      <c r="E339" t="str">
        <f>""</f>
        <v/>
      </c>
      <c r="F339" t="str">
        <f>""</f>
        <v/>
      </c>
      <c r="G339" t="str">
        <f>"464.10"</f>
        <v>464.10</v>
      </c>
      <c r="H339" t="str">
        <f>"Consorzio di bonifica Bacchiglione"</f>
        <v>Consorzio di bonifica Bacchiglione</v>
      </c>
      <c r="I339" t="str">
        <f>"92223390284"</f>
        <v>92223390284</v>
      </c>
      <c r="J339" t="str">
        <f>"23-AFFIDAMENTO DIRETTO"</f>
        <v>23-AFFIDAMENTO DIRETTO</v>
      </c>
      <c r="K339" t="str">
        <f>"06/08/2021"</f>
        <v>06/08/2021</v>
      </c>
      <c r="L339" t="str">
        <f>"08/09/2021"</f>
        <v>08/09/2021</v>
      </c>
      <c r="M339" t="str">
        <f>""</f>
        <v/>
      </c>
      <c r="N339" t="str">
        <f>"Carrozzeria Biasion S.N.C. Via Bassa 45 35020 Arzergrande PD"</f>
        <v>Carrozzeria Biasion S.N.C. Via Bassa 45 35020 Arzergrande PD</v>
      </c>
      <c r="O339" t="str">
        <f>"Carrozzeria Biasion S.N.C. Via Bassa 45 35020 Arzergrande PD"</f>
        <v>Carrozzeria Biasion S.N.C. Via Bassa 45 35020 Arzergrande PD</v>
      </c>
      <c r="P339" t="str">
        <f>"ZEF32B8545: [464.10€ ]"</f>
        <v>ZEF32B8545: [464.10€ ]</v>
      </c>
      <c r="Q339" t="str">
        <f>""</f>
        <v/>
      </c>
      <c r="R339" t="str">
        <f>""</f>
        <v/>
      </c>
      <c r="S339" t="str">
        <f>""</f>
        <v/>
      </c>
      <c r="T339" t="str">
        <f>"https://portaletrasparenza.consorziobacchiglione.it/dettagli/attodigara/7063/sostituzione-paraurti-posteriore-su-mezzo-targato-ff936pm.html"</f>
        <v>https://portaletrasparenza.consorziobacchiglione.it/dettagli/attodigara/7063/sostituzione-paraurti-posteriore-su-mezzo-targato-ff936pm.html</v>
      </c>
      <c r="U339" t="str">
        <f>"https://portaletrasparenza.consorziobacchiglione.it/download/attodigara/7063/63ac45b460cd8.PDF"</f>
        <v>https://portaletrasparenza.consorziobacchiglione.it/download/attodigara/7063/63ac45b460cd8.PDF</v>
      </c>
      <c r="V3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40" spans="1:22" x14ac:dyDescent="0.3">
      <c r="A340" t="str">
        <f>"Affidamento"</f>
        <v>Affidamento</v>
      </c>
      <c r="B340" t="str">
        <f>"Fornitura materiale elettrico per Bacino Sesta Presa"</f>
        <v>Fornitura materiale elettrico per Bacino Sesta Presa</v>
      </c>
      <c r="C340" t="str">
        <f>"Z6B1B14ACC"</f>
        <v>Z6B1B14ACC</v>
      </c>
      <c r="D340" t="str">
        <f>"04/11/2021"</f>
        <v>04/11/2021</v>
      </c>
      <c r="E340" t="str">
        <f>""</f>
        <v/>
      </c>
      <c r="F340" t="str">
        <f>""</f>
        <v/>
      </c>
      <c r="G340" t="str">
        <f>"2555.54"</f>
        <v>2555.54</v>
      </c>
      <c r="H340" t="str">
        <f>"Consorzio di bonifica Bacchiglione"</f>
        <v>Consorzio di bonifica Bacchiglione</v>
      </c>
      <c r="I340" t="str">
        <f>"92223390284"</f>
        <v>92223390284</v>
      </c>
      <c r="J340" t="str">
        <f>"23-AFFIDAMENTO DIRETTO"</f>
        <v>23-AFFIDAMENTO DIRETTO</v>
      </c>
      <c r="K340" t="str">
        <f>"06/09/2021"</f>
        <v>06/09/2021</v>
      </c>
      <c r="L340" t="str">
        <f>"09/11/2021"</f>
        <v>09/11/2021</v>
      </c>
      <c r="M340" t="str">
        <f>""</f>
        <v/>
      </c>
      <c r="N340" t="str">
        <f>"Elettroveneta S.p.A. Viale della Navigazione Interna, 48 - 35129 Padova (PD)"</f>
        <v>Elettroveneta S.p.A. Viale della Navigazione Interna, 48 - 35129 Padova (PD)</v>
      </c>
      <c r="O340" t="str">
        <f>"Elettroveneta S.p.A. Viale della Navigazione Interna, 48 - 35129 Padova (PD)"</f>
        <v>Elettroveneta S.p.A. Viale della Navigazione Interna, 48 - 35129 Padova (PD)</v>
      </c>
      <c r="P340" t="str">
        <f>"Z6B1B14ACC: [2555.54€ ]"</f>
        <v>Z6B1B14ACC: [2555.54€ ]</v>
      </c>
      <c r="Q340" t="str">
        <f>""</f>
        <v/>
      </c>
      <c r="R340" t="str">
        <f>""</f>
        <v/>
      </c>
      <c r="S340" t="str">
        <f>""</f>
        <v/>
      </c>
      <c r="T340" t="str">
        <f>"https://portaletrasparenza.consorziobacchiglione.it/dettagli/attodigara/721/fornitura-materiale-elettrico-per-bacino-sesta-presa.html"</f>
        <v>https://portaletrasparenza.consorziobacchiglione.it/dettagli/attodigara/721/fornitura-materiale-elettrico-per-bacino-sesta-presa.html</v>
      </c>
      <c r="U340" t="str">
        <f>""</f>
        <v/>
      </c>
      <c r="V3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41" spans="1:22" x14ac:dyDescent="0.3">
      <c r="A341" t="str">
        <f>"Affidamento"</f>
        <v>Affidamento</v>
      </c>
      <c r="B341" t="str">
        <f>"Posa elettropompa n 6 Idrovora di Cambroso in seguito a riparazione."</f>
        <v>Posa elettropompa n 6 Idrovora di Cambroso in seguito a riparazione.</v>
      </c>
      <c r="C341" t="str">
        <f>"ZEA1B13CFC"</f>
        <v>ZEA1B13CFC</v>
      </c>
      <c r="D341" t="str">
        <f>"04/11/2021"</f>
        <v>04/11/2021</v>
      </c>
      <c r="E341" t="str">
        <f>""</f>
        <v/>
      </c>
      <c r="F341" t="str">
        <f>""</f>
        <v/>
      </c>
      <c r="G341" t="str">
        <f>"1640.00"</f>
        <v>1640.00</v>
      </c>
      <c r="H341" t="str">
        <f>"Consorzio di bonifica Bacchiglione"</f>
        <v>Consorzio di bonifica Bacchiglione</v>
      </c>
      <c r="I341" t="str">
        <f>"92223390284"</f>
        <v>92223390284</v>
      </c>
      <c r="J341" t="str">
        <f>"23-AFFIDAMENTO DIRETTO"</f>
        <v>23-AFFIDAMENTO DIRETTO</v>
      </c>
      <c r="K341" t="str">
        <f>"06/09/2021"</f>
        <v>06/09/2021</v>
      </c>
      <c r="L341" t="str">
        <f>"27/10/2021"</f>
        <v>27/10/2021</v>
      </c>
      <c r="M341" t="str">
        <f>""</f>
        <v/>
      </c>
      <c r="N341" t="str">
        <f>"Xylem Water Solutions Italia S.r.l. Via Gioacchino Rossini 1A 20020 Lainate MI"</f>
        <v>Xylem Water Solutions Italia S.r.l. Via Gioacchino Rossini 1A 20020 Lainate MI</v>
      </c>
      <c r="O341" t="str">
        <f>"Xylem Water Solutions Italia S.r.l. Via Gioacchino Rossini 1A 20020 Lainate MI"</f>
        <v>Xylem Water Solutions Italia S.r.l. Via Gioacchino Rossini 1A 20020 Lainate MI</v>
      </c>
      <c r="P341" t="str">
        <f>"ZEA1B13CFC: [1640.00€ ]"</f>
        <v>ZEA1B13CFC: [1640.00€ ]</v>
      </c>
      <c r="Q341" t="str">
        <f>""</f>
        <v/>
      </c>
      <c r="R341" t="str">
        <f>""</f>
        <v/>
      </c>
      <c r="S341" t="str">
        <f>""</f>
        <v/>
      </c>
      <c r="T341" t="str">
        <f>"https://portaletrasparenza.consorziobacchiglione.it/dettagli/attodigara/720/posa-elettropompa-n-6-idrovora-di-cambroso-in-seguito-a-riparazione.html"</f>
        <v>https://portaletrasparenza.consorziobacchiglione.it/dettagli/attodigara/720/posa-elettropompa-n-6-idrovora-di-cambroso-in-seguito-a-riparazione.html</v>
      </c>
      <c r="U341" t="str">
        <f>""</f>
        <v/>
      </c>
      <c r="V34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42" spans="1:22" x14ac:dyDescent="0.3">
      <c r="A342" t="str">
        <f>"Affidamento"</f>
        <v>Affidamento</v>
      </c>
      <c r="B342" t="str">
        <f>"Manutenzione e riparazione G.E. dell'Idrovora Fossetta."</f>
        <v>Manutenzione e riparazione G.E. dell'Idrovora Fossetta.</v>
      </c>
      <c r="C342" t="str">
        <f>"ZDF1B13A05"</f>
        <v>ZDF1B13A05</v>
      </c>
      <c r="D342" t="str">
        <f>"04/11/2021"</f>
        <v>04/11/2021</v>
      </c>
      <c r="E342" t="str">
        <f>""</f>
        <v/>
      </c>
      <c r="F342" t="str">
        <f>""</f>
        <v/>
      </c>
      <c r="G342" t="str">
        <f>"600.00"</f>
        <v>600.00</v>
      </c>
      <c r="H342" t="str">
        <f>"Consorzio di bonifica Bacchiglione"</f>
        <v>Consorzio di bonifica Bacchiglione</v>
      </c>
      <c r="I342" t="str">
        <f>"92223390284"</f>
        <v>92223390284</v>
      </c>
      <c r="J342" t="str">
        <f>"23-AFFIDAMENTO DIRETTO"</f>
        <v>23-AFFIDAMENTO DIRETTO</v>
      </c>
      <c r="K342" t="str">
        <f>"06/09/2021"</f>
        <v>06/09/2021</v>
      </c>
      <c r="L342" t="str">
        <f>"02/02/2021"</f>
        <v>02/02/2021</v>
      </c>
      <c r="M342" t="str">
        <f>""</f>
        <v/>
      </c>
      <c r="N342" t="str">
        <f>"TREE S.R.L. Via Rino Collodel 3 31020 San Pietro di Feletto TV"</f>
        <v>TREE S.R.L. Via Rino Collodel 3 31020 San Pietro di Feletto TV</v>
      </c>
      <c r="O342" t="str">
        <f>"TREE S.R.L. Via Rino Collodel 3 31020 San Pietro di Feletto TV"</f>
        <v>TREE S.R.L. Via Rino Collodel 3 31020 San Pietro di Feletto TV</v>
      </c>
      <c r="P342" t="str">
        <f>"ZDF1B13A05: [600.00€ ]"</f>
        <v>ZDF1B13A05: [600.00€ ]</v>
      </c>
      <c r="Q342" t="str">
        <f>""</f>
        <v/>
      </c>
      <c r="R342" t="str">
        <f>""</f>
        <v/>
      </c>
      <c r="S342" t="str">
        <f>""</f>
        <v/>
      </c>
      <c r="T342" t="str">
        <f>"https://portaletrasparenza.consorziobacchiglione.it/dettagli/attodigara/719/manutenzione-e-riparazione-g-e-dell-idrovora-fossetta.html"</f>
        <v>https://portaletrasparenza.consorziobacchiglione.it/dettagli/attodigara/719/manutenzione-e-riparazione-g-e-dell-idrovora-fossetta.html</v>
      </c>
      <c r="U342" t="str">
        <f>""</f>
        <v/>
      </c>
      <c r="V3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43" spans="1:22" x14ac:dyDescent="0.3">
      <c r="A343" t="str">
        <f>"Affidamento"</f>
        <v>Affidamento</v>
      </c>
      <c r="B343" t="str">
        <f>"Lavoro di riparazione e manutenzione paratoia sostegno Orsaretto"</f>
        <v>Lavoro di riparazione e manutenzione paratoia sostegno Orsaretto</v>
      </c>
      <c r="C343" t="str">
        <f>"Z071B133C4"</f>
        <v>Z071B133C4</v>
      </c>
      <c r="D343" t="str">
        <f>"04/11/2021"</f>
        <v>04/11/2021</v>
      </c>
      <c r="E343" t="str">
        <f>""</f>
        <v/>
      </c>
      <c r="F343" t="str">
        <f>""</f>
        <v/>
      </c>
      <c r="G343" t="str">
        <f>"487.00"</f>
        <v>487.00</v>
      </c>
      <c r="H343" t="str">
        <f>"Consorzio di bonifica Bacchiglione"</f>
        <v>Consorzio di bonifica Bacchiglione</v>
      </c>
      <c r="I343" t="str">
        <f>"92223390284"</f>
        <v>92223390284</v>
      </c>
      <c r="J343" t="str">
        <f>"23-AFFIDAMENTO DIRETTO"</f>
        <v>23-AFFIDAMENTO DIRETTO</v>
      </c>
      <c r="K343" t="str">
        <f>"06/09/2021"</f>
        <v>06/09/2021</v>
      </c>
      <c r="L343" t="str">
        <f>"27/10/2021"</f>
        <v>27/10/2021</v>
      </c>
      <c r="M343" t="str">
        <f>""</f>
        <v/>
      </c>
      <c r="N343" t="str">
        <f>"Officina Biesse S.n.c. Via Matteotti 24 35020 Arzergrande PD"</f>
        <v>Officina Biesse S.n.c. Via Matteotti 24 35020 Arzergrande PD</v>
      </c>
      <c r="O343" t="str">
        <f>"Officina Biesse S.n.c. Via Matteotti 24 35020 Arzergrande PD"</f>
        <v>Officina Biesse S.n.c. Via Matteotti 24 35020 Arzergrande PD</v>
      </c>
      <c r="P343" t="str">
        <f>"Z071B133C4: [487.00€ ]"</f>
        <v>Z071B133C4: [487.00€ ]</v>
      </c>
      <c r="Q343" t="str">
        <f>""</f>
        <v/>
      </c>
      <c r="R343" t="str">
        <f>""</f>
        <v/>
      </c>
      <c r="S343" t="str">
        <f>""</f>
        <v/>
      </c>
      <c r="T343" t="str">
        <f>"https://portaletrasparenza.consorziobacchiglione.it/dettagli/attodigara/717/lavoro-di-riparazione-e-manutenzione-paratoia-sostegno-orsaretto.html"</f>
        <v>https://portaletrasparenza.consorziobacchiglione.it/dettagli/attodigara/717/lavoro-di-riparazione-e-manutenzione-paratoia-sostegno-orsaretto.html</v>
      </c>
      <c r="U343" t="str">
        <f>""</f>
        <v/>
      </c>
      <c r="V34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44" spans="1:22" x14ac:dyDescent="0.3">
      <c r="A344" t="str">
        <f>"Affidamento"</f>
        <v>Affidamento</v>
      </c>
      <c r="B344" t="str">
        <f>"Manutenzione riparazione e lavaggio mezzi con targa : PDAF480, PDAH521, PDAF496, PDAF497, EP107XC, AGK711, CB934XY, AKD221, Motobarca n 4, 6, 8."</f>
        <v>Manutenzione riparazione e lavaggio mezzi con targa : PDAF480, PDAH521, PDAF496, PDAF497, EP107XC, AGK711, CB934XY, AKD221, Motobarca n 4, 6, 8.</v>
      </c>
      <c r="C344" t="str">
        <f>"Z3B1B1311D"</f>
        <v>Z3B1B1311D</v>
      </c>
      <c r="D344" t="str">
        <f>"04/11/2021"</f>
        <v>04/11/2021</v>
      </c>
      <c r="E344" t="str">
        <f>""</f>
        <v/>
      </c>
      <c r="F344" t="str">
        <f>""</f>
        <v/>
      </c>
      <c r="G344" t="str">
        <f>"6402.12"</f>
        <v>6402.12</v>
      </c>
      <c r="H344" t="str">
        <f>"Consorzio di bonifica Bacchiglione"</f>
        <v>Consorzio di bonifica Bacchiglione</v>
      </c>
      <c r="I344" t="str">
        <f>"92223390284"</f>
        <v>92223390284</v>
      </c>
      <c r="J344" t="str">
        <f>"23-AFFIDAMENTO DIRETTO"</f>
        <v>23-AFFIDAMENTO DIRETTO</v>
      </c>
      <c r="K344" t="str">
        <f>"06/09/2021"</f>
        <v>06/09/2021</v>
      </c>
      <c r="L344" t="str">
        <f>"30/11/2021"</f>
        <v>30/11/2021</v>
      </c>
      <c r="M344" t="str">
        <f>""</f>
        <v/>
      </c>
      <c r="N344" t="str">
        <f>"Officina Biesse S.n.c. Via Matteotti 24 35020 Arzergrande PD"</f>
        <v>Officina Biesse S.n.c. Via Matteotti 24 35020 Arzergrande PD</v>
      </c>
      <c r="O344" t="str">
        <f>"Officina Biesse S.n.c. Via Matteotti 24 35020 Arzergrande PD"</f>
        <v>Officina Biesse S.n.c. Via Matteotti 24 35020 Arzergrande PD</v>
      </c>
      <c r="P344" t="str">
        <f>"Z3B1B1311D: [6402.12€ ]"</f>
        <v>Z3B1B1311D: [6402.12€ ]</v>
      </c>
      <c r="Q344" t="str">
        <f>""</f>
        <v/>
      </c>
      <c r="R344" t="str">
        <f>""</f>
        <v/>
      </c>
      <c r="S344" t="str">
        <f>""</f>
        <v/>
      </c>
      <c r="T344" t="str">
        <f>"https://portaletrasparenza.consorziobacchiglione.it/dettagli/attodigara/716/manutenzione-riparazione-e-lavaggio-mezzi-con-targa-pdaf480-pdah521-pdaf496-pdaf497-ep107xc-agk711-cb934xy-akd221-motobarca-n-4-6-8.html"</f>
        <v>https://portaletrasparenza.consorziobacchiglione.it/dettagli/attodigara/716/manutenzione-riparazione-e-lavaggio-mezzi-con-targa-pdaf480-pdah521-pdaf496-pdaf497-ep107xc-agk711-cb934xy-akd221-motobarca-n-4-6-8.html</v>
      </c>
      <c r="U344" t="str">
        <f>""</f>
        <v/>
      </c>
      <c r="V34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45" spans="1:22" x14ac:dyDescent="0.3">
      <c r="A345" t="str">
        <f>"Affidamento"</f>
        <v>Affidamento</v>
      </c>
      <c r="B345" t="str">
        <f>"Spostamento centrale telefonica e accessori vari nel nuovo locale situato al piano terra."</f>
        <v>Spostamento centrale telefonica e accessori vari nel nuovo locale situato al piano terra.</v>
      </c>
      <c r="C345" t="str">
        <f>"Z2C1B1253A"</f>
        <v>Z2C1B1253A</v>
      </c>
      <c r="D345" t="str">
        <f>"04/11/2021"</f>
        <v>04/11/2021</v>
      </c>
      <c r="E345" t="str">
        <f>""</f>
        <v/>
      </c>
      <c r="F345" t="str">
        <f>""</f>
        <v/>
      </c>
      <c r="G345" t="str">
        <f>"3450.00"</f>
        <v>3450.00</v>
      </c>
      <c r="H345" t="str">
        <f>"Consorzio di bonifica Bacchiglione"</f>
        <v>Consorzio di bonifica Bacchiglione</v>
      </c>
      <c r="I345" t="str">
        <f>"92223390284"</f>
        <v>92223390284</v>
      </c>
      <c r="J345" t="str">
        <f>"23-AFFIDAMENTO DIRETTO"</f>
        <v>23-AFFIDAMENTO DIRETTO</v>
      </c>
      <c r="K345" t="str">
        <f>"06/09/2021"</f>
        <v>06/09/2021</v>
      </c>
      <c r="L345" t="str">
        <f>"15/11/2021"</f>
        <v>15/11/2021</v>
      </c>
      <c r="M345" t="str">
        <f>""</f>
        <v/>
      </c>
      <c r="N345" t="str">
        <f>"Telecom s.r.l. Via Marignana 98 31021 Marocco di Mogliano Veneto TV"</f>
        <v>Telecom s.r.l. Via Marignana 98 31021 Marocco di Mogliano Veneto TV</v>
      </c>
      <c r="O345" t="str">
        <f>"Telecom s.r.l. Via Marignana 98 31021 Marocco di Mogliano Veneto TV"</f>
        <v>Telecom s.r.l. Via Marignana 98 31021 Marocco di Mogliano Veneto TV</v>
      </c>
      <c r="P345" t="str">
        <f>"Z2C1B1253A: [3450.00€ ]"</f>
        <v>Z2C1B1253A: [3450.00€ ]</v>
      </c>
      <c r="Q345" t="str">
        <f>""</f>
        <v/>
      </c>
      <c r="R345" t="str">
        <f>""</f>
        <v/>
      </c>
      <c r="S345" t="str">
        <f>""</f>
        <v/>
      </c>
      <c r="T345" t="str">
        <f>"https://portaletrasparenza.consorziobacchiglione.it/dettagli/attodigara/715/spostamento-centrale-telefonica-e-accessori-vari-nel-nuovo-locale-situato-al-piano-terra.html"</f>
        <v>https://portaletrasparenza.consorziobacchiglione.it/dettagli/attodigara/715/spostamento-centrale-telefonica-e-accessori-vari-nel-nuovo-locale-situato-al-piano-terra.html</v>
      </c>
      <c r="U345" t="str">
        <f>""</f>
        <v/>
      </c>
      <c r="V34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46" spans="1:22" x14ac:dyDescent="0.3">
      <c r="A346" t="str">
        <f>"Affidamento"</f>
        <v>Affidamento</v>
      </c>
      <c r="B346" t="str">
        <f>"Fornitura materiale di ferramenta per C.O.S.Margherita e Bacino Delta Brenta."</f>
        <v>Fornitura materiale di ferramenta per C.O.S.Margherita e Bacino Delta Brenta.</v>
      </c>
      <c r="C346" t="str">
        <f>"Z4D1B134FC"</f>
        <v>Z4D1B134FC</v>
      </c>
      <c r="D346" t="str">
        <f>"04/11/2021"</f>
        <v>04/11/2021</v>
      </c>
      <c r="E346" t="str">
        <f>""</f>
        <v/>
      </c>
      <c r="F346" t="str">
        <f>""</f>
        <v/>
      </c>
      <c r="G346" t="str">
        <f>"268.70"</f>
        <v>268.70</v>
      </c>
      <c r="H346" t="str">
        <f>"Consorzio di bonifica Bacchiglione"</f>
        <v>Consorzio di bonifica Bacchiglione</v>
      </c>
      <c r="I346" t="str">
        <f>"92223390284"</f>
        <v>92223390284</v>
      </c>
      <c r="J346" t="str">
        <f>"23-AFFIDAMENTO DIRETTO"</f>
        <v>23-AFFIDAMENTO DIRETTO</v>
      </c>
      <c r="K346" t="str">
        <f>"06/09/2021"</f>
        <v>06/09/2021</v>
      </c>
      <c r="L346" t="str">
        <f>"27/10/2021"</f>
        <v>27/10/2021</v>
      </c>
      <c r="M346" t="str">
        <f>""</f>
        <v/>
      </c>
      <c r="N346" t="str">
        <f>"Gollo Giovanni Via Vallona 65 35020 Conche di Codevigo PD"</f>
        <v>Gollo Giovanni Via Vallona 65 35020 Conche di Codevigo PD</v>
      </c>
      <c r="O346" t="str">
        <f>"Gollo Giovanni Via Vallona 65 35020 Conche di Codevigo PD"</f>
        <v>Gollo Giovanni Via Vallona 65 35020 Conche di Codevigo PD</v>
      </c>
      <c r="P346" t="str">
        <f>"Z4D1B134FC: [258.50€ ]"</f>
        <v>Z4D1B134FC: [258.50€ ]</v>
      </c>
      <c r="Q346" t="str">
        <f>""</f>
        <v/>
      </c>
      <c r="R346" t="str">
        <f>""</f>
        <v/>
      </c>
      <c r="S346" t="str">
        <f>""</f>
        <v/>
      </c>
      <c r="T346" t="str">
        <f>"https://portaletrasparenza.consorziobacchiglione.it/dettagli/attodigara/718/fornitura-materiale-di-ferramenta-per-c-o-s-margherita-e-bacino-delta-brenta.html"</f>
        <v>https://portaletrasparenza.consorziobacchiglione.it/dettagli/attodigara/718/fornitura-materiale-di-ferramenta-per-c-o-s-margherita-e-bacino-delta-brenta.html</v>
      </c>
      <c r="U346" t="str">
        <f>""</f>
        <v/>
      </c>
      <c r="V346">
        <f>(SUBSTITUTE(Tabella1[[#This Row],[Importo di aggiudicazione]],".",","))-(SUBSTITUTE(  SUBSTITUTE(          SUBSTITUTE(Tabella1[[#This Row],[Dettaglio somme liquidate]],Tabella1[[#This Row],[CIG]]&amp;": [",""),"€ ]",""),".",","))</f>
        <v>10.199999999999989</v>
      </c>
    </row>
    <row r="347" spans="1:22" x14ac:dyDescent="0.3">
      <c r="A347" t="str">
        <f>"Affidamento"</f>
        <v>Affidamento</v>
      </c>
      <c r="B347" t="str">
        <f>"Fornitura di vibroinfissore e sella di aggancio per nuovo escavatore Hitachi presso Bacino Colli e Montà Portello"</f>
        <v>Fornitura di vibroinfissore e sella di aggancio per nuovo escavatore Hitachi presso Bacino Colli e Montà Portello</v>
      </c>
      <c r="C347" t="str">
        <f>"ZBD32F00C4"</f>
        <v>ZBD32F00C4</v>
      </c>
      <c r="D347" t="str">
        <f>"07/09/2021"</f>
        <v>07/09/2021</v>
      </c>
      <c r="E347" t="str">
        <f>""</f>
        <v/>
      </c>
      <c r="F347" t="str">
        <f>""</f>
        <v/>
      </c>
      <c r="G347" t="str">
        <f>"18100.00"</f>
        <v>18100.00</v>
      </c>
      <c r="H347" t="str">
        <f>"Consorzio di bonifica Bacchiglione"</f>
        <v>Consorzio di bonifica Bacchiglione</v>
      </c>
      <c r="I347" t="str">
        <f>"92223390284"</f>
        <v>92223390284</v>
      </c>
      <c r="J347" t="str">
        <f>"23-AFFIDAMENTO DIRETTO"</f>
        <v>23-AFFIDAMENTO DIRETTO</v>
      </c>
      <c r="K347" t="str">
        <f>"06/09/2021"</f>
        <v>06/09/2021</v>
      </c>
      <c r="L347" t="str">
        <f>"05/11/2021"</f>
        <v>05/11/2021</v>
      </c>
      <c r="M347" t="str">
        <f>""</f>
        <v/>
      </c>
      <c r="N347" t="str">
        <f>"Sorme s.n.c. Via Monache 21 35030 Selvazzano Dentro PD"</f>
        <v>Sorme s.n.c. Via Monache 21 35030 Selvazzano Dentro PD</v>
      </c>
      <c r="O347" t="str">
        <f>"Sorme s.n.c. Via Monache 21 35030 Selvazzano Dentro PD"</f>
        <v>Sorme s.n.c. Via Monache 21 35030 Selvazzano Dentro PD</v>
      </c>
      <c r="P347" t="s">
        <v>151</v>
      </c>
      <c r="Q347" t="str">
        <f>""</f>
        <v/>
      </c>
      <c r="R347" t="str">
        <f>""</f>
        <v/>
      </c>
      <c r="S347" t="str">
        <f>""</f>
        <v/>
      </c>
      <c r="T347" t="str">
        <f>"https://portaletrasparenza.consorziobacchiglione.it/dettagli/attodigara/7108/fornitura-di-vibroinfissore-e-sella-di-aggancio-per-nuovo-escavatore-hitachi-presso-bacino-colli-e-monta-portello.html"</f>
        <v>https://portaletrasparenza.consorziobacchiglione.it/dettagli/attodigara/7108/fornitura-di-vibroinfissore-e-sella-di-aggancio-per-nuovo-escavatore-hitachi-presso-bacino-colli-e-monta-portello.html</v>
      </c>
      <c r="U347" t="str">
        <f>"https://portaletrasparenza.consorziobacchiglione.it/download/attodigara/7108/63ac45bf09a17.PDF"</f>
        <v>https://portaletrasparenza.consorziobacchiglione.it/download/attodigara/7108/63ac45bf09a17.PDF</v>
      </c>
      <c r="V34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48" spans="1:22" x14ac:dyDescent="0.3">
      <c r="A348" t="str">
        <f>"Affidamento"</f>
        <v>Affidamento</v>
      </c>
      <c r="B348" t="str">
        <f>"Rinnovo annuale contratto di manutenzione esteso agli impianti di Telecontrollo installati nei vostri siti"</f>
        <v>Rinnovo annuale contratto di manutenzione esteso agli impianti di Telecontrollo installati nei vostri siti</v>
      </c>
      <c r="C348" t="str">
        <f>"Z5B32EDC8C"</f>
        <v>Z5B32EDC8C</v>
      </c>
      <c r="D348" t="str">
        <f>"07/09/2021"</f>
        <v>07/09/2021</v>
      </c>
      <c r="E348" t="str">
        <f>""</f>
        <v/>
      </c>
      <c r="F348" t="str">
        <f>""</f>
        <v/>
      </c>
      <c r="G348" t="str">
        <f>"6160.00"</f>
        <v>6160.00</v>
      </c>
      <c r="H348" t="str">
        <f>"Consorzio di bonifica Bacchiglione"</f>
        <v>Consorzio di bonifica Bacchiglione</v>
      </c>
      <c r="I348" t="str">
        <f>"92223390284"</f>
        <v>92223390284</v>
      </c>
      <c r="J348" t="str">
        <f>"23-AFFIDAMENTO DIRETTO"</f>
        <v>23-AFFIDAMENTO DIRETTO</v>
      </c>
      <c r="K348" t="str">
        <f>"06/09/2021"</f>
        <v>06/09/2021</v>
      </c>
      <c r="L348" t="str">
        <f>"29/10/2021"</f>
        <v>29/10/2021</v>
      </c>
      <c r="M348" t="str">
        <f>""</f>
        <v/>
      </c>
      <c r="N348" t="str">
        <f>"Omnicon Srl Via Petrarca 14a 20843 Verano Brianza MB"</f>
        <v>Omnicon Srl Via Petrarca 14a 20843 Verano Brianza MB</v>
      </c>
      <c r="O348" t="str">
        <f>"Omnicon Srl Via Petrarca 14a 20843 Verano Brianza MB"</f>
        <v>Omnicon Srl Via Petrarca 14a 20843 Verano Brianza MB</v>
      </c>
      <c r="P348" t="s">
        <v>179</v>
      </c>
      <c r="Q348" t="str">
        <f>""</f>
        <v/>
      </c>
      <c r="R348" t="str">
        <f>""</f>
        <v/>
      </c>
      <c r="S348" t="str">
        <f>""</f>
        <v/>
      </c>
      <c r="T348" t="str">
        <f>"https://portaletrasparenza.consorziobacchiglione.it/dettagli/attodigara/7102/rinnovo-annuale-contratto-di-manutenzione-esteso-agli-impianti-di-telecontrollo-installati-nei-vostri-siti.html"</f>
        <v>https://portaletrasparenza.consorziobacchiglione.it/dettagli/attodigara/7102/rinnovo-annuale-contratto-di-manutenzione-esteso-agli-impianti-di-telecontrollo-installati-nei-vostri-siti.html</v>
      </c>
      <c r="U348" t="str">
        <f>"https://portaletrasparenza.consorziobacchiglione.it/download/attodigara/7102/63ac45bd8f754.PDF"</f>
        <v>https://portaletrasparenza.consorziobacchiglione.it/download/attodigara/7102/63ac45bd8f754.PDF</v>
      </c>
      <c r="V3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49" spans="1:22" x14ac:dyDescent="0.3">
      <c r="A349" t="str">
        <f>"Affidamento"</f>
        <v>Affidamento</v>
      </c>
      <c r="B349" t="str">
        <f>"Revisione annuale n.2 caldaie, più inversione estate/inverno condizionamento museo a S.Margherita"</f>
        <v>Revisione annuale n.2 caldaie, più inversione estate/inverno condizionamento museo a S.Margherita</v>
      </c>
      <c r="C349" t="str">
        <f>"ZE732EF684"</f>
        <v>ZE732EF684</v>
      </c>
      <c r="D349" t="str">
        <f>"07/09/2021"</f>
        <v>07/09/2021</v>
      </c>
      <c r="E349" t="str">
        <f>""</f>
        <v/>
      </c>
      <c r="F349" t="str">
        <f>""</f>
        <v/>
      </c>
      <c r="G349" t="str">
        <f>"380.00"</f>
        <v>380.00</v>
      </c>
      <c r="H349" t="str">
        <f>"Consorzio di bonifica Bacchiglione"</f>
        <v>Consorzio di bonifica Bacchiglione</v>
      </c>
      <c r="I349" t="str">
        <f>"92223390284"</f>
        <v>92223390284</v>
      </c>
      <c r="J349" t="str">
        <f>"23-AFFIDAMENTO DIRETTO"</f>
        <v>23-AFFIDAMENTO DIRETTO</v>
      </c>
      <c r="K349" t="str">
        <f>"06/09/2021"</f>
        <v>06/09/2021</v>
      </c>
      <c r="L349" t="str">
        <f>"18/10/2021"</f>
        <v>18/10/2021</v>
      </c>
      <c r="M349" t="str">
        <f>""</f>
        <v/>
      </c>
      <c r="N349" t="str">
        <f>"Giraldo Impianti SNC di Giraldo Danilo e Silvio Via Flli Cervi 1-II 30010 Campolongo Maggiore VE"</f>
        <v>Giraldo Impianti SNC di Giraldo Danilo e Silvio Via Flli Cervi 1-II 30010 Campolongo Maggiore VE</v>
      </c>
      <c r="O349" t="str">
        <f>"Giraldo Impianti SNC di Giraldo Danilo e Silvio Via Flli Cervi 1-II 30010 Campolongo Maggiore VE"</f>
        <v>Giraldo Impianti SNC di Giraldo Danilo e Silvio Via Flli Cervi 1-II 30010 Campolongo Maggiore VE</v>
      </c>
      <c r="P349" t="s">
        <v>279</v>
      </c>
      <c r="Q349" t="str">
        <f>""</f>
        <v/>
      </c>
      <c r="R349" t="str">
        <f>""</f>
        <v/>
      </c>
      <c r="S349" t="str">
        <f>""</f>
        <v/>
      </c>
      <c r="T349" t="str">
        <f>"https://portaletrasparenza.consorziobacchiglione.it/dettagli/attodigara/7106/revisione-annuale-n-2-caldaie-piu-inversione-estate-inverno-condizionamento-museo-a-s-margherita.html"</f>
        <v>https://portaletrasparenza.consorziobacchiglione.it/dettagli/attodigara/7106/revisione-annuale-n-2-caldaie-piu-inversione-estate-inverno-condizionamento-museo-a-s-margherita.html</v>
      </c>
      <c r="U349" t="str">
        <f>"https://portaletrasparenza.consorziobacchiglione.it/download/attodigara/7106/63ac45be8bd1b.PDF"</f>
        <v>https://portaletrasparenza.consorziobacchiglione.it/download/attodigara/7106/63ac45be8bd1b.PDF</v>
      </c>
      <c r="V3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50" spans="1:22" x14ac:dyDescent="0.3">
      <c r="A350" t="str">
        <f>"Affidamento"</f>
        <v>Affidamento</v>
      </c>
      <c r="B350" t="str">
        <f>"Manutenzione idraulica presso Idrovora Bernio"</f>
        <v>Manutenzione idraulica presso Idrovora Bernio</v>
      </c>
      <c r="C350" t="str">
        <f>"ZD832EF85B"</f>
        <v>ZD832EF85B</v>
      </c>
      <c r="D350" t="str">
        <f>"07/09/2021"</f>
        <v>07/09/2021</v>
      </c>
      <c r="E350" t="str">
        <f>""</f>
        <v/>
      </c>
      <c r="F350" t="str">
        <f>""</f>
        <v/>
      </c>
      <c r="G350" t="str">
        <f>"520.00"</f>
        <v>520.00</v>
      </c>
      <c r="H350" t="str">
        <f>"Consorzio di bonifica Bacchiglione"</f>
        <v>Consorzio di bonifica Bacchiglione</v>
      </c>
      <c r="I350" t="str">
        <f>"92223390284"</f>
        <v>92223390284</v>
      </c>
      <c r="J350" t="str">
        <f>"23-AFFIDAMENTO DIRETTO"</f>
        <v>23-AFFIDAMENTO DIRETTO</v>
      </c>
      <c r="K350" t="str">
        <f>"06/09/2021"</f>
        <v>06/09/2021</v>
      </c>
      <c r="L350" t="str">
        <f>"29/09/2021"</f>
        <v>29/09/2021</v>
      </c>
      <c r="M350" t="str">
        <f>""</f>
        <v/>
      </c>
      <c r="N350" t="str">
        <f>"Giraldo Impianti SNC di Giraldo Danilo e Silvio Via Flli Cervi 1-II 30010 Campolongo Maggiore VE"</f>
        <v>Giraldo Impianti SNC di Giraldo Danilo e Silvio Via Flli Cervi 1-II 30010 Campolongo Maggiore VE</v>
      </c>
      <c r="O350" t="str">
        <f>"Giraldo Impianti SNC di Giraldo Danilo e Silvio Via Flli Cervi 1-II 30010 Campolongo Maggiore VE"</f>
        <v>Giraldo Impianti SNC di Giraldo Danilo e Silvio Via Flli Cervi 1-II 30010 Campolongo Maggiore VE</v>
      </c>
      <c r="P350" t="str">
        <f>"ZD832EF85B: [520.00€ ]"</f>
        <v>ZD832EF85B: [520.00€ ]</v>
      </c>
      <c r="Q350" t="str">
        <f>""</f>
        <v/>
      </c>
      <c r="R350" t="str">
        <f>""</f>
        <v/>
      </c>
      <c r="S350" t="str">
        <f>""</f>
        <v/>
      </c>
      <c r="T350" t="str">
        <f>"https://portaletrasparenza.consorziobacchiglione.it/dettagli/attodigara/7107/manutenzione-idraulica-presso-idrovora-bernio.html"</f>
        <v>https://portaletrasparenza.consorziobacchiglione.it/dettagli/attodigara/7107/manutenzione-idraulica-presso-idrovora-bernio.html</v>
      </c>
      <c r="U350" t="str">
        <f>"https://portaletrasparenza.consorziobacchiglione.it/download/attodigara/7107/63ac45bec4e4d.PDF"</f>
        <v>https://portaletrasparenza.consorziobacchiglione.it/download/attodigara/7107/63ac45bec4e4d.PDF</v>
      </c>
      <c r="V35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51" spans="1:22" x14ac:dyDescent="0.3">
      <c r="A351" t="str">
        <f>"Affidamento"</f>
        <v>Affidamento</v>
      </c>
      <c r="B351" t="str">
        <f>"Manutenzione e riparazione sgrigliatore Acque Basse presso Idrovora Ponte di Riva"</f>
        <v>Manutenzione e riparazione sgrigliatore Acque Basse presso Idrovora Ponte di Riva</v>
      </c>
      <c r="C351" t="str">
        <f>"Z5F32EED50"</f>
        <v>Z5F32EED50</v>
      </c>
      <c r="D351" t="str">
        <f>"07/09/2021"</f>
        <v>07/09/2021</v>
      </c>
      <c r="E351" t="str">
        <f>""</f>
        <v/>
      </c>
      <c r="F351" t="str">
        <f>""</f>
        <v/>
      </c>
      <c r="G351" t="str">
        <f>"843.00"</f>
        <v>843.00</v>
      </c>
      <c r="H351" t="str">
        <f>"Consorzio di bonifica Bacchiglione"</f>
        <v>Consorzio di bonifica Bacchiglione</v>
      </c>
      <c r="I351" t="str">
        <f>"92223390284"</f>
        <v>92223390284</v>
      </c>
      <c r="J351" t="str">
        <f>"23-AFFIDAMENTO DIRETTO"</f>
        <v>23-AFFIDAMENTO DIRETTO</v>
      </c>
      <c r="K351" t="str">
        <f>"06/09/2021"</f>
        <v>06/09/2021</v>
      </c>
      <c r="L351" t="str">
        <f>"23/09/2021"</f>
        <v>23/09/2021</v>
      </c>
      <c r="M351" t="str">
        <f>""</f>
        <v/>
      </c>
      <c r="N351" t="str">
        <f>"Officina Biesse S.n.c. Via Matteotti 24 35020 Arzergrande PD"</f>
        <v>Officina Biesse S.n.c. Via Matteotti 24 35020 Arzergrande PD</v>
      </c>
      <c r="O351" t="str">
        <f>"Officina Biesse S.n.c. Via Matteotti 24 35020 Arzergrande PD"</f>
        <v>Officina Biesse S.n.c. Via Matteotti 24 35020 Arzergrande PD</v>
      </c>
      <c r="P351" t="str">
        <f>"Z5F32EED50: [843.00€ ]"</f>
        <v>Z5F32EED50: [843.00€ ]</v>
      </c>
      <c r="Q351" t="str">
        <f>""</f>
        <v/>
      </c>
      <c r="R351" t="str">
        <f>""</f>
        <v/>
      </c>
      <c r="S351" t="str">
        <f>""</f>
        <v/>
      </c>
      <c r="T351" t="str">
        <f>"https://portaletrasparenza.consorziobacchiglione.it/dettagli/attodigara/7105/manutenzione-e-riparazione-sgrigliatore-acque-basse-presso-idrovora-ponte-di-riva.html"</f>
        <v>https://portaletrasparenza.consorziobacchiglione.it/dettagli/attodigara/7105/manutenzione-e-riparazione-sgrigliatore-acque-basse-presso-idrovora-ponte-di-riva.html</v>
      </c>
      <c r="U351" t="str">
        <f>"https://portaletrasparenza.consorziobacchiglione.it/download/attodigara/7105/63ac45be461b6.PDF,https://portaletrasparenza.consorziobacchiglione.it/download/attodigara/7105/63ac45be464b2.doc"</f>
        <v>https://portaletrasparenza.consorziobacchiglione.it/download/attodigara/7105/63ac45be461b6.PDF,https://portaletrasparenza.consorziobacchiglione.it/download/attodigara/7105/63ac45be464b2.doc</v>
      </c>
      <c r="V35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52" spans="1:22" x14ac:dyDescent="0.3">
      <c r="A352" t="str">
        <f>"Affidamento"</f>
        <v>Affidamento</v>
      </c>
      <c r="B352" t="str">
        <f>"Fornitura ricambi per la manutenzione degli inverter presso vari impianti"</f>
        <v>Fornitura ricambi per la manutenzione degli inverter presso vari impianti</v>
      </c>
      <c r="C352" t="str">
        <f>"Z8932EE40B"</f>
        <v>Z8932EE40B</v>
      </c>
      <c r="D352" t="str">
        <f>"07/09/2021"</f>
        <v>07/09/2021</v>
      </c>
      <c r="E352" t="str">
        <f>""</f>
        <v/>
      </c>
      <c r="F352" t="str">
        <f>""</f>
        <v/>
      </c>
      <c r="G352" t="str">
        <f>"12865.02"</f>
        <v>12865.02</v>
      </c>
      <c r="H352" t="str">
        <f>"Consorzio di bonifica Bacchiglione"</f>
        <v>Consorzio di bonifica Bacchiglione</v>
      </c>
      <c r="I352" t="str">
        <f>"92223390284"</f>
        <v>92223390284</v>
      </c>
      <c r="J352" t="str">
        <f>"23-AFFIDAMENTO DIRETTO"</f>
        <v>23-AFFIDAMENTO DIRETTO</v>
      </c>
      <c r="K352" t="str">
        <f>"06/09/2021"</f>
        <v>06/09/2021</v>
      </c>
      <c r="L352" t="str">
        <f>"26/01/2022"</f>
        <v>26/01/2022</v>
      </c>
      <c r="M352" t="str">
        <f>""</f>
        <v/>
      </c>
      <c r="N352" t="str">
        <f>"SCHNEIDER ELECTRIC S.P.A. Via Circonvallazione Est, 1 - 24040 Stezzano (BG)"</f>
        <v>SCHNEIDER ELECTRIC S.P.A. Via Circonvallazione Est, 1 - 24040 Stezzano (BG)</v>
      </c>
      <c r="O352" t="str">
        <f>"SCHNEIDER ELECTRIC S.P.A. Via Circonvallazione Est, 1 - 24040 Stezzano (BG)"</f>
        <v>SCHNEIDER ELECTRIC S.P.A. Via Circonvallazione Est, 1 - 24040 Stezzano (BG)</v>
      </c>
      <c r="P352" t="str">
        <f>"Z8932EE40B: [12865.02€ ]"</f>
        <v>Z8932EE40B: [12865.02€ ]</v>
      </c>
      <c r="Q352" t="str">
        <f>""</f>
        <v/>
      </c>
      <c r="R352" t="str">
        <f>""</f>
        <v/>
      </c>
      <c r="S352" t="str">
        <f>""</f>
        <v/>
      </c>
      <c r="T352" t="str">
        <f>"https://portaletrasparenza.consorziobacchiglione.it/dettagli/attodigara/7104/fornitura-ricambi-per-la-manutenzione-degli-inverter-presso-vari-impianti.html"</f>
        <v>https://portaletrasparenza.consorziobacchiglione.it/dettagli/attodigara/7104/fornitura-ricambi-per-la-manutenzione-degli-inverter-presso-vari-impianti.html</v>
      </c>
      <c r="U352" t="str">
        <f>"https://portaletrasparenza.consorziobacchiglione.it/download/attodigara/7104/63ac45be0d16c.PDF"</f>
        <v>https://portaletrasparenza.consorziobacchiglione.it/download/attodigara/7104/63ac45be0d16c.PDF</v>
      </c>
      <c r="V3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53" spans="1:22" x14ac:dyDescent="0.3">
      <c r="A353" t="str">
        <f>"Affidamento"</f>
        <v>Affidamento</v>
      </c>
      <c r="B353" t="str">
        <f>"Manutenzione e riparazione mezzi con targa: AKV813, PDAH521"</f>
        <v>Manutenzione e riparazione mezzi con targa: AKV813, PDAH521</v>
      </c>
      <c r="C353" t="str">
        <f>"Z2732EDE38"</f>
        <v>Z2732EDE38</v>
      </c>
      <c r="D353" t="str">
        <f>"07/09/2021"</f>
        <v>07/09/2021</v>
      </c>
      <c r="E353" t="str">
        <f>""</f>
        <v/>
      </c>
      <c r="F353" t="str">
        <f>""</f>
        <v/>
      </c>
      <c r="G353" t="str">
        <f>"1403.77"</f>
        <v>1403.77</v>
      </c>
      <c r="H353" t="str">
        <f>"Consorzio di bonifica Bacchiglione"</f>
        <v>Consorzio di bonifica Bacchiglione</v>
      </c>
      <c r="I353" t="str">
        <f>"92223390284"</f>
        <v>92223390284</v>
      </c>
      <c r="J353" t="str">
        <f>"23-AFFIDAMENTO DIRETTO"</f>
        <v>23-AFFIDAMENTO DIRETTO</v>
      </c>
      <c r="K353" t="str">
        <f>"06/09/2021"</f>
        <v>06/09/2021</v>
      </c>
      <c r="L353" t="str">
        <f>"22/09/2021"</f>
        <v>22/09/2021</v>
      </c>
      <c r="M353" t="str">
        <f>""</f>
        <v/>
      </c>
      <c r="N353" t="str">
        <f>"Officina Biesse S.n.c. Via Matteotti 24 35020 Arzergrande PD"</f>
        <v>Officina Biesse S.n.c. Via Matteotti 24 35020 Arzergrande PD</v>
      </c>
      <c r="O353" t="str">
        <f>"Officina Biesse S.n.c. Via Matteotti 24 35020 Arzergrande PD"</f>
        <v>Officina Biesse S.n.c. Via Matteotti 24 35020 Arzergrande PD</v>
      </c>
      <c r="P353" t="str">
        <f>"Z2732EDE38: [1403.77€ ]"</f>
        <v>Z2732EDE38: [1403.77€ ]</v>
      </c>
      <c r="Q353" t="str">
        <f>""</f>
        <v/>
      </c>
      <c r="R353" t="str">
        <f>""</f>
        <v/>
      </c>
      <c r="S353" t="str">
        <f>""</f>
        <v/>
      </c>
      <c r="T353" t="str">
        <f>"https://portaletrasparenza.consorziobacchiglione.it/dettagli/attodigara/7103/manutenzione-e-riparazione-mezzi-con-targa-akv813-pdah521.html"</f>
        <v>https://portaletrasparenza.consorziobacchiglione.it/dettagli/attodigara/7103/manutenzione-e-riparazione-mezzi-con-targa-akv813-pdah521.html</v>
      </c>
      <c r="U353" t="str">
        <f>"https://portaletrasparenza.consorziobacchiglione.it/download/attodigara/7103/63ac45bdc8670.PDF"</f>
        <v>https://portaletrasparenza.consorziobacchiglione.it/download/attodigara/7103/63ac45bdc8670.PDF</v>
      </c>
      <c r="V3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54" spans="1:22" x14ac:dyDescent="0.3">
      <c r="A354" t="str">
        <f>"Affidamento"</f>
        <v>Affidamento</v>
      </c>
      <c r="B354" t="str">
        <f>"Noleggio bagno chimico da cantiere per lavori presso scolo Menona in Via Carrasi"</f>
        <v>Noleggio bagno chimico da cantiere per lavori presso scolo Menona in Via Carrasi</v>
      </c>
      <c r="C354" t="str">
        <f>"Z0932F0241"</f>
        <v>Z0932F0241</v>
      </c>
      <c r="D354" t="str">
        <f>"07/09/2021"</f>
        <v>07/09/2021</v>
      </c>
      <c r="E354" t="str">
        <f>""</f>
        <v/>
      </c>
      <c r="F354" t="str">
        <f>""</f>
        <v/>
      </c>
      <c r="G354" t="str">
        <f>"240.00"</f>
        <v>240.00</v>
      </c>
      <c r="H354" t="str">
        <f>"Consorzio di bonifica Bacchiglione"</f>
        <v>Consorzio di bonifica Bacchiglione</v>
      </c>
      <c r="I354" t="str">
        <f>"92223390284"</f>
        <v>92223390284</v>
      </c>
      <c r="J354" t="str">
        <f>"23-AFFIDAMENTO DIRETTO"</f>
        <v>23-AFFIDAMENTO DIRETTO</v>
      </c>
      <c r="K354" t="str">
        <f>"06/09/2021"</f>
        <v>06/09/2021</v>
      </c>
      <c r="L354" t="str">
        <f>"19/10/2021"</f>
        <v>19/10/2021</v>
      </c>
      <c r="M354" t="str">
        <f>""</f>
        <v/>
      </c>
      <c r="N354" t="str">
        <f>"Sebach s.r.l.Unipersonale Via Fiorentina 109 50052 Certaldo FI"</f>
        <v>Sebach s.r.l.Unipersonale Via Fiorentina 109 50052 Certaldo FI</v>
      </c>
      <c r="O354" t="str">
        <f>"Sebach s.r.l.Unipersonale Via Fiorentina 109 50052 Certaldo FI"</f>
        <v>Sebach s.r.l.Unipersonale Via Fiorentina 109 50052 Certaldo FI</v>
      </c>
      <c r="P354" t="str">
        <f>"Z0932F0241: [0.00€ ]"</f>
        <v>Z0932F0241: [0.00€ ]</v>
      </c>
      <c r="Q354" t="str">
        <f>""</f>
        <v/>
      </c>
      <c r="R354" t="str">
        <f>""</f>
        <v/>
      </c>
      <c r="S354" t="str">
        <f>""</f>
        <v/>
      </c>
      <c r="T354" t="str">
        <f>"https://portaletrasparenza.consorziobacchiglione.it/dettagli/attodigara/7109/noleggio-bagno-chimico-da-cantiere-per-lavori-presso-scolo-menona-in-via-carrasi.html"</f>
        <v>https://portaletrasparenza.consorziobacchiglione.it/dettagli/attodigara/7109/noleggio-bagno-chimico-da-cantiere-per-lavori-presso-scolo-menona-in-via-carrasi.html</v>
      </c>
      <c r="U354" t="str">
        <f>"https://portaletrasparenza.consorziobacchiglione.it/download/attodigara/7109/62a20a69195f7.PDF"</f>
        <v>https://portaletrasparenza.consorziobacchiglione.it/download/attodigara/7109/62a20a69195f7.PDF</v>
      </c>
      <c r="V354">
        <f>(SUBSTITUTE(Tabella1[[#This Row],[Importo di aggiudicazione]],".",","))-(SUBSTITUTE(  SUBSTITUTE(          SUBSTITUTE(Tabella1[[#This Row],[Dettaglio somme liquidate]],Tabella1[[#This Row],[CIG]]&amp;": [",""),"€ ]",""),".",","))</f>
        <v>240</v>
      </c>
    </row>
    <row r="355" spans="1:22" x14ac:dyDescent="0.3">
      <c r="A355" t="str">
        <f>"Affidamento"</f>
        <v>Affidamento</v>
      </c>
      <c r="B355" t="str">
        <f>"Controllo semestrale gru su mezzo con targa: DA564ZE"</f>
        <v>Controllo semestrale gru su mezzo con targa: DA564ZE</v>
      </c>
      <c r="C355" t="str">
        <f>"ZEE1B7B031"</f>
        <v>ZEE1B7B031</v>
      </c>
      <c r="D355" t="str">
        <f>"04/11/2021"</f>
        <v>04/11/2021</v>
      </c>
      <c r="E355" t="str">
        <f>""</f>
        <v/>
      </c>
      <c r="F355" t="str">
        <f>""</f>
        <v/>
      </c>
      <c r="G355" t="str">
        <f>"200.00"</f>
        <v>200.00</v>
      </c>
      <c r="H355" t="str">
        <f>"Consorzio di bonifica Bacchiglione"</f>
        <v>Consorzio di bonifica Bacchiglione</v>
      </c>
      <c r="I355" t="str">
        <f>"92223390284"</f>
        <v>92223390284</v>
      </c>
      <c r="J355" t="str">
        <f>"23-AFFIDAMENTO DIRETTO"</f>
        <v>23-AFFIDAMENTO DIRETTO</v>
      </c>
      <c r="K355" t="str">
        <f>"06/10/2021"</f>
        <v>06/10/2021</v>
      </c>
      <c r="L355" t="str">
        <f>"15/11/2021"</f>
        <v>15/11/2021</v>
      </c>
      <c r="M355" t="str">
        <f>""</f>
        <v/>
      </c>
      <c r="N355" t="str">
        <f>"Moressa s.r.l. Via Cuccara 2 35020 Due Carrare PD"</f>
        <v>Moressa s.r.l. Via Cuccara 2 35020 Due Carrare PD</v>
      </c>
      <c r="O355" t="str">
        <f>"Moressa s.r.l. Via Cuccara 2 35020 Due Carrare PD"</f>
        <v>Moressa s.r.l. Via Cuccara 2 35020 Due Carrare PD</v>
      </c>
      <c r="P355" t="str">
        <f>"ZEE1B7B031: [200.00€ ]"</f>
        <v>ZEE1B7B031: [200.00€ ]</v>
      </c>
      <c r="Q355" t="str">
        <f>""</f>
        <v/>
      </c>
      <c r="R355" t="str">
        <f>""</f>
        <v/>
      </c>
      <c r="S355" t="str">
        <f>""</f>
        <v/>
      </c>
      <c r="T355" t="str">
        <f>"https://portaletrasparenza.consorziobacchiglione.it/dettagli/attodigara/806/controllo-semestrale-gru-su-mezzo-con-targa-da564ze.html"</f>
        <v>https://portaletrasparenza.consorziobacchiglione.it/dettagli/attodigara/806/controllo-semestrale-gru-su-mezzo-con-targa-da564ze.html</v>
      </c>
      <c r="U355" t="str">
        <f>""</f>
        <v/>
      </c>
      <c r="V3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56" spans="1:22" x14ac:dyDescent="0.3">
      <c r="A356" t="str">
        <f>"Affidamento"</f>
        <v>Affidamento</v>
      </c>
      <c r="B356" t="str">
        <f>"Manutenzione e riparazione mezzo cingolato R.900 e mezzo con targa: AKA712"</f>
        <v>Manutenzione e riparazione mezzo cingolato R.900 e mezzo con targa: AKA712</v>
      </c>
      <c r="C356" t="str">
        <f>"ZAB1B7AFC8"</f>
        <v>ZAB1B7AFC8</v>
      </c>
      <c r="D356" t="str">
        <f>"04/11/2021"</f>
        <v>04/11/2021</v>
      </c>
      <c r="E356" t="str">
        <f>""</f>
        <v/>
      </c>
      <c r="F356" t="str">
        <f>""</f>
        <v/>
      </c>
      <c r="G356" t="str">
        <f>"2420.36"</f>
        <v>2420.36</v>
      </c>
      <c r="H356" t="str">
        <f>"Consorzio di bonifica Bacchiglione"</f>
        <v>Consorzio di bonifica Bacchiglione</v>
      </c>
      <c r="I356" t="str">
        <f>"92223390284"</f>
        <v>92223390284</v>
      </c>
      <c r="J356" t="str">
        <f>"23-AFFIDAMENTO DIRETTO"</f>
        <v>23-AFFIDAMENTO DIRETTO</v>
      </c>
      <c r="K356" t="str">
        <f>"06/10/2021"</f>
        <v>06/10/2021</v>
      </c>
      <c r="L356" t="str">
        <f>"31/12/2021"</f>
        <v>31/12/2021</v>
      </c>
      <c r="M356" t="str">
        <f>""</f>
        <v/>
      </c>
      <c r="N356" t="str">
        <f>"Adriatica Commerciale Macchine s.r.l. Via dell'Artigianato 5 35020 Due Carrare PD"</f>
        <v>Adriatica Commerciale Macchine s.r.l. Via dell'Artigianato 5 35020 Due Carrare PD</v>
      </c>
      <c r="O356" t="str">
        <f>"Adriatica Commerciale Macchine s.r.l. Via dell'Artigianato 5 35020 Due Carrare PD"</f>
        <v>Adriatica Commerciale Macchine s.r.l. Via dell'Artigianato 5 35020 Due Carrare PD</v>
      </c>
      <c r="P356" t="str">
        <f>"ZAB1B7AFC8: [2420.36€ ]"</f>
        <v>ZAB1B7AFC8: [2420.36€ ]</v>
      </c>
      <c r="Q356" t="str">
        <f>""</f>
        <v/>
      </c>
      <c r="R356" t="str">
        <f>""</f>
        <v/>
      </c>
      <c r="S356" t="str">
        <f>""</f>
        <v/>
      </c>
      <c r="T356" t="str">
        <f>"https://portaletrasparenza.consorziobacchiglione.it/dettagli/attodigara/805/manutenzione-e-riparazione-mezzo-cingolato-r-900-e-mezzo-con-targa-aka712.html"</f>
        <v>https://portaletrasparenza.consorziobacchiglione.it/dettagli/attodigara/805/manutenzione-e-riparazione-mezzo-cingolato-r-900-e-mezzo-con-targa-aka712.html</v>
      </c>
      <c r="U356" t="str">
        <f>""</f>
        <v/>
      </c>
      <c r="V35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57" spans="1:22" x14ac:dyDescent="0.3">
      <c r="A357" t="str">
        <f>"Affidamento"</f>
        <v>Affidamento</v>
      </c>
      <c r="B357" t="str">
        <f>"Riparazione e manutenzione mezzo con targa: DS717AA."</f>
        <v>Riparazione e manutenzione mezzo con targa: DS717AA.</v>
      </c>
      <c r="C357" t="str">
        <f>"Z8E1B7A6FC"</f>
        <v>Z8E1B7A6FC</v>
      </c>
      <c r="D357" t="str">
        <f>"04/11/2021"</f>
        <v>04/11/2021</v>
      </c>
      <c r="E357" t="str">
        <f>""</f>
        <v/>
      </c>
      <c r="F357" t="str">
        <f>""</f>
        <v/>
      </c>
      <c r="G357" t="str">
        <f>"196.04"</f>
        <v>196.04</v>
      </c>
      <c r="H357" t="str">
        <f>"Consorzio di bonifica Bacchiglione"</f>
        <v>Consorzio di bonifica Bacchiglione</v>
      </c>
      <c r="I357" t="str">
        <f>"92223390284"</f>
        <v>92223390284</v>
      </c>
      <c r="J357" t="str">
        <f>"23-AFFIDAMENTO DIRETTO"</f>
        <v>23-AFFIDAMENTO DIRETTO</v>
      </c>
      <c r="K357" t="str">
        <f>"06/10/2021"</f>
        <v>06/10/2021</v>
      </c>
      <c r="L357" t="str">
        <f>"09/11/2021"</f>
        <v>09/11/2021</v>
      </c>
      <c r="M357" t="str">
        <f>""</f>
        <v/>
      </c>
      <c r="N357" t="str">
        <f>"Elettrodiesel Peruzzo s.r.l. Via Tevere 30 35135 Padova"</f>
        <v>Elettrodiesel Peruzzo s.r.l. Via Tevere 30 35135 Padova</v>
      </c>
      <c r="O357" t="str">
        <f>"Elettrodiesel Peruzzo s.r.l. Via Tevere 30 35135 Padova"</f>
        <v>Elettrodiesel Peruzzo s.r.l. Via Tevere 30 35135 Padova</v>
      </c>
      <c r="P357" t="str">
        <f>"Z8E1B7A6FC: [196.04€ ]"</f>
        <v>Z8E1B7A6FC: [196.04€ ]</v>
      </c>
      <c r="Q357" t="str">
        <f>""</f>
        <v/>
      </c>
      <c r="R357" t="str">
        <f>""</f>
        <v/>
      </c>
      <c r="S357" t="str">
        <f>""</f>
        <v/>
      </c>
      <c r="T357" t="str">
        <f>"https://portaletrasparenza.consorziobacchiglione.it/dettagli/attodigara/803/riparazione-e-manutenzione-mezzo-con-targa-ds717aa.html"</f>
        <v>https://portaletrasparenza.consorziobacchiglione.it/dettagli/attodigara/803/riparazione-e-manutenzione-mezzo-con-targa-ds717aa.html</v>
      </c>
      <c r="U357" t="str">
        <f>""</f>
        <v/>
      </c>
      <c r="V35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58" spans="1:22" x14ac:dyDescent="0.3">
      <c r="A358" t="str">
        <f>"Affidamento"</f>
        <v>Affidamento</v>
      </c>
      <c r="B358" t="str">
        <f>"Fornitura sensori e trasmettitori universali per Idrovora Grisa e Bernio."</f>
        <v>Fornitura sensori e trasmettitori universali per Idrovora Grisa e Bernio.</v>
      </c>
      <c r="C358" t="str">
        <f>"Z831B79D28"</f>
        <v>Z831B79D28</v>
      </c>
      <c r="D358" t="str">
        <f>"04/11/2021"</f>
        <v>04/11/2021</v>
      </c>
      <c r="E358" t="str">
        <f>""</f>
        <v/>
      </c>
      <c r="F358" t="str">
        <f>""</f>
        <v/>
      </c>
      <c r="G358" t="str">
        <f>"1985.00"</f>
        <v>1985.00</v>
      </c>
      <c r="H358" t="str">
        <f>"Consorzio di bonifica Bacchiglione"</f>
        <v>Consorzio di bonifica Bacchiglione</v>
      </c>
      <c r="I358" t="str">
        <f>"92223390284"</f>
        <v>92223390284</v>
      </c>
      <c r="J358" t="str">
        <f>"23-AFFIDAMENTO DIRETTO"</f>
        <v>23-AFFIDAMENTO DIRETTO</v>
      </c>
      <c r="K358" t="str">
        <f>"06/10/2021"</f>
        <v>06/10/2021</v>
      </c>
      <c r="L358" t="str">
        <f>"14/12/2021"</f>
        <v>14/12/2021</v>
      </c>
      <c r="M358" t="str">
        <f>""</f>
        <v/>
      </c>
      <c r="N358" t="str">
        <f>"Endress + Hauser Italia S.p.A. Via Fratelli di Dio 7 20063 Cernusco S-N MI"</f>
        <v>Endress + Hauser Italia S.p.A. Via Fratelli di Dio 7 20063 Cernusco S-N MI</v>
      </c>
      <c r="O358" t="str">
        <f>"Endress + Hauser Italia S.p.A. Via Fratelli di Dio 7 20063 Cernusco S-N MI"</f>
        <v>Endress + Hauser Italia S.p.A. Via Fratelli di Dio 7 20063 Cernusco S-N MI</v>
      </c>
      <c r="P358" t="str">
        <f>"Z831B79D28: [1985.00€ ]"</f>
        <v>Z831B79D28: [1985.00€ ]</v>
      </c>
      <c r="Q358" t="str">
        <f>""</f>
        <v/>
      </c>
      <c r="R358" t="str">
        <f>""</f>
        <v/>
      </c>
      <c r="S358" t="str">
        <f>""</f>
        <v/>
      </c>
      <c r="T358" t="str">
        <f>"https://portaletrasparenza.consorziobacchiglione.it/dettagli/attodigara/802/fornitura-sensori-e-trasmettitori-universali-per-idrovora-grisa-e-bernio.html"</f>
        <v>https://portaletrasparenza.consorziobacchiglione.it/dettagli/attodigara/802/fornitura-sensori-e-trasmettitori-universali-per-idrovora-grisa-e-bernio.html</v>
      </c>
      <c r="U358" t="str">
        <f>""</f>
        <v/>
      </c>
      <c r="V3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59" spans="1:22" x14ac:dyDescent="0.3">
      <c r="A359" t="str">
        <f>"Affidamento"</f>
        <v>Affidamento</v>
      </c>
      <c r="B359" t="str">
        <f>"Revisione e potenziamento elettropompa E.P.1. dell'Idrovora Marinelle."</f>
        <v>Revisione e potenziamento elettropompa E.P.1. dell'Idrovora Marinelle.</v>
      </c>
      <c r="C359" t="str">
        <f>"ZB71B79986"</f>
        <v>ZB71B79986</v>
      </c>
      <c r="D359" t="str">
        <f>"04/11/2021"</f>
        <v>04/11/2021</v>
      </c>
      <c r="E359" t="str">
        <f>""</f>
        <v/>
      </c>
      <c r="F359" t="str">
        <f>""</f>
        <v/>
      </c>
      <c r="G359" t="str">
        <f>"9750.00"</f>
        <v>9750.00</v>
      </c>
      <c r="H359" t="str">
        <f>"Consorzio di bonifica Bacchiglione"</f>
        <v>Consorzio di bonifica Bacchiglione</v>
      </c>
      <c r="I359" t="str">
        <f>"92223390284"</f>
        <v>92223390284</v>
      </c>
      <c r="J359" t="str">
        <f>"23-AFFIDAMENTO DIRETTO"</f>
        <v>23-AFFIDAMENTO DIRETTO</v>
      </c>
      <c r="K359" t="str">
        <f>"06/10/2021"</f>
        <v>06/10/2021</v>
      </c>
      <c r="L359" t="str">
        <f>"05/01/2021"</f>
        <v>05/01/2021</v>
      </c>
      <c r="M359" t="str">
        <f>""</f>
        <v/>
      </c>
      <c r="N359" t="str">
        <f>"Moro Meccanica S.R.L. Via Bologna 7 35035 Mestrino PD"</f>
        <v>Moro Meccanica S.R.L. Via Bologna 7 35035 Mestrino PD</v>
      </c>
      <c r="O359" t="str">
        <f>"Moro Meccanica S.R.L. Via Bologna 7 35035 Mestrino PD"</f>
        <v>Moro Meccanica S.R.L. Via Bologna 7 35035 Mestrino PD</v>
      </c>
      <c r="P359" t="str">
        <f>"ZB71B79986: [9750.00€ ]"</f>
        <v>ZB71B79986: [9750.00€ ]</v>
      </c>
      <c r="Q359" t="str">
        <f>""</f>
        <v/>
      </c>
      <c r="R359" t="str">
        <f>""</f>
        <v/>
      </c>
      <c r="S359" t="str">
        <f>""</f>
        <v/>
      </c>
      <c r="T359" t="str">
        <f>"https://portaletrasparenza.consorziobacchiglione.it/dettagli/attodigara/801/revisione-e-potenziamento-elettropompa-e-p-1-dell-idrovora-marinelle.html"</f>
        <v>https://portaletrasparenza.consorziobacchiglione.it/dettagli/attodigara/801/revisione-e-potenziamento-elettropompa-e-p-1-dell-idrovora-marinelle.html</v>
      </c>
      <c r="U359" t="str">
        <f>""</f>
        <v/>
      </c>
      <c r="V35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60" spans="1:22" x14ac:dyDescent="0.3">
      <c r="A360" t="str">
        <f>"Affidamento"</f>
        <v>Affidamento</v>
      </c>
      <c r="B360" t="str">
        <f>"Fornitura materiale elettrico per Bacino Sesta Presa."</f>
        <v>Fornitura materiale elettrico per Bacino Sesta Presa.</v>
      </c>
      <c r="C360" t="str">
        <f>"Z6E1B789C5"</f>
        <v>Z6E1B789C5</v>
      </c>
      <c r="D360" t="str">
        <f>"04/11/2021"</f>
        <v>04/11/2021</v>
      </c>
      <c r="E360" t="str">
        <f>""</f>
        <v/>
      </c>
      <c r="F360" t="str">
        <f>""</f>
        <v/>
      </c>
      <c r="G360" t="str">
        <f>"204.54"</f>
        <v>204.54</v>
      </c>
      <c r="H360" t="str">
        <f>"Consorzio di bonifica Bacchiglione"</f>
        <v>Consorzio di bonifica Bacchiglione</v>
      </c>
      <c r="I360" t="str">
        <f>"92223390284"</f>
        <v>92223390284</v>
      </c>
      <c r="J360" t="str">
        <f>"23-AFFIDAMENTO DIRETTO"</f>
        <v>23-AFFIDAMENTO DIRETTO</v>
      </c>
      <c r="K360" t="str">
        <f>"06/10/2021"</f>
        <v>06/10/2021</v>
      </c>
      <c r="L360" t="str">
        <f>"03/01/2021"</f>
        <v>03/01/2021</v>
      </c>
      <c r="M360" t="str">
        <f>""</f>
        <v/>
      </c>
      <c r="N360" t="str">
        <f>"Elettroveneta S.p.A. Viale della Navigazione Interna, 48 - 35129 Padova (PD)"</f>
        <v>Elettroveneta S.p.A. Viale della Navigazione Interna, 48 - 35129 Padova (PD)</v>
      </c>
      <c r="O360" t="str">
        <f>"Elettroveneta S.p.A. Viale della Navigazione Interna, 48 - 35129 Padova (PD)"</f>
        <v>Elettroveneta S.p.A. Viale della Navigazione Interna, 48 - 35129 Padova (PD)</v>
      </c>
      <c r="P360" t="str">
        <f>"Z6E1B789C5: [204.54€ ]"</f>
        <v>Z6E1B789C5: [204.54€ ]</v>
      </c>
      <c r="Q360" t="str">
        <f>""</f>
        <v/>
      </c>
      <c r="R360" t="str">
        <f>""</f>
        <v/>
      </c>
      <c r="S360" t="str">
        <f>""</f>
        <v/>
      </c>
      <c r="T360" t="str">
        <f>"https://portaletrasparenza.consorziobacchiglione.it/dettagli/attodigara/800/fornitura-materiale-elettrico-per-bacino-sesta-presa.html"</f>
        <v>https://portaletrasparenza.consorziobacchiglione.it/dettagli/attodigara/800/fornitura-materiale-elettrico-per-bacino-sesta-presa.html</v>
      </c>
      <c r="U360" t="str">
        <f>""</f>
        <v/>
      </c>
      <c r="V3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61" spans="1:22" x14ac:dyDescent="0.3">
      <c r="A361" t="str">
        <f>"Affidamento"</f>
        <v>Affidamento</v>
      </c>
      <c r="B361" t="str">
        <f>"Fornitura n 1 fusto olio idraulico e n 1 tanica di Urania LD 9 da 20 Lt per mezzi Consorziali."</f>
        <v>Fornitura n 1 fusto olio idraulico e n 1 tanica di Urania LD 9 da 20 Lt per mezzi Consorziali.</v>
      </c>
      <c r="C361" t="str">
        <f>"ZF41B7B2CA"</f>
        <v>ZF41B7B2CA</v>
      </c>
      <c r="D361" t="str">
        <f>"04/11/2021"</f>
        <v>04/11/2021</v>
      </c>
      <c r="E361" t="str">
        <f>""</f>
        <v/>
      </c>
      <c r="F361" t="str">
        <f>""</f>
        <v/>
      </c>
      <c r="G361" t="str">
        <f>"573.77"</f>
        <v>573.77</v>
      </c>
      <c r="H361" t="str">
        <f>"Consorzio di bonifica Bacchiglione"</f>
        <v>Consorzio di bonifica Bacchiglione</v>
      </c>
      <c r="I361" t="str">
        <f>"92223390284"</f>
        <v>92223390284</v>
      </c>
      <c r="J361" t="str">
        <f>"23-AFFIDAMENTO DIRETTO"</f>
        <v>23-AFFIDAMENTO DIRETTO</v>
      </c>
      <c r="K361" t="str">
        <f>"06/10/2021"</f>
        <v>06/10/2021</v>
      </c>
      <c r="L361" t="str">
        <f>"03/01/2021"</f>
        <v>03/01/2021</v>
      </c>
      <c r="M361" t="str">
        <f>""</f>
        <v/>
      </c>
      <c r="N361" t="str">
        <f>"Dimel s.a.s. di Donado Luca e C. Via Unità d'Italia 12 35020 Brugine PD"</f>
        <v>Dimel s.a.s. di Donado Luca e C. Via Unità d'Italia 12 35020 Brugine PD</v>
      </c>
      <c r="O361" t="str">
        <f>"Dimel s.a.s. di Donado Luca e C. Via Unità d'Italia 12 35020 Brugine PD"</f>
        <v>Dimel s.a.s. di Donado Luca e C. Via Unità d'Italia 12 35020 Brugine PD</v>
      </c>
      <c r="P361" t="str">
        <f>"ZF41B7B2CA: [573.08€ ]"</f>
        <v>ZF41B7B2CA: [573.08€ ]</v>
      </c>
      <c r="Q361" t="str">
        <f>""</f>
        <v/>
      </c>
      <c r="R361" t="str">
        <f>""</f>
        <v/>
      </c>
      <c r="S361" t="str">
        <f>""</f>
        <v/>
      </c>
      <c r="T361" t="str">
        <f>"https://portaletrasparenza.consorziobacchiglione.it/dettagli/attodigara/807/fornitura-n-1-fusto-olio-idraulico-e-n-1-tanica-di-urania-ld-9-da-20-lt-per-mezzi-consorziali.html"</f>
        <v>https://portaletrasparenza.consorziobacchiglione.it/dettagli/attodigara/807/fornitura-n-1-fusto-olio-idraulico-e-n-1-tanica-di-urania-ld-9-da-20-lt-per-mezzi-consorziali.html</v>
      </c>
      <c r="U361" t="str">
        <f>""</f>
        <v/>
      </c>
      <c r="V361">
        <f>(SUBSTITUTE(Tabella1[[#This Row],[Importo di aggiudicazione]],".",","))-(SUBSTITUTE(  SUBSTITUTE(          SUBSTITUTE(Tabella1[[#This Row],[Dettaglio somme liquidate]],Tabella1[[#This Row],[CIG]]&amp;": [",""),"€ ]",""),".",","))</f>
        <v>0.68999999999994088</v>
      </c>
    </row>
    <row r="362" spans="1:22" x14ac:dyDescent="0.3">
      <c r="A362" t="str">
        <f>"Affidamento"</f>
        <v>Affidamento</v>
      </c>
      <c r="B362" t="str">
        <f>"Fornitura grasso per mezzi Consorziali."</f>
        <v>Fornitura grasso per mezzi Consorziali.</v>
      </c>
      <c r="C362" t="str">
        <f>"Z221B7AF22"</f>
        <v>Z221B7AF22</v>
      </c>
      <c r="D362" t="str">
        <f>"04/11/2021"</f>
        <v>04/11/2021</v>
      </c>
      <c r="E362" t="str">
        <f>""</f>
        <v/>
      </c>
      <c r="F362" t="str">
        <f>""</f>
        <v/>
      </c>
      <c r="G362" t="str">
        <f>"1734.17"</f>
        <v>1734.17</v>
      </c>
      <c r="H362" t="str">
        <f>"Consorzio di bonifica Bacchiglione"</f>
        <v>Consorzio di bonifica Bacchiglione</v>
      </c>
      <c r="I362" t="str">
        <f>"92223390284"</f>
        <v>92223390284</v>
      </c>
      <c r="J362" t="str">
        <f>"23-AFFIDAMENTO DIRETTO"</f>
        <v>23-AFFIDAMENTO DIRETTO</v>
      </c>
      <c r="K362" t="str">
        <f>"06/10/2021"</f>
        <v>06/10/2021</v>
      </c>
      <c r="L362" t="str">
        <f>"05/01/2021"</f>
        <v>05/01/2021</v>
      </c>
      <c r="M362" t="str">
        <f>""</f>
        <v/>
      </c>
      <c r="N362" t="str">
        <f>"Centro Lubrificanti Via Oderzo 48 31040 Mansuè TV"</f>
        <v>Centro Lubrificanti Via Oderzo 48 31040 Mansuè TV</v>
      </c>
      <c r="O362" t="str">
        <f>"Centro Lubrificanti Via Oderzo 48 31040 Mansuè TV"</f>
        <v>Centro Lubrificanti Via Oderzo 48 31040 Mansuè TV</v>
      </c>
      <c r="P362" t="str">
        <f>"Z221B7AF22: [1723.80€ ]"</f>
        <v>Z221B7AF22: [1723.80€ ]</v>
      </c>
      <c r="Q362" t="str">
        <f>""</f>
        <v/>
      </c>
      <c r="R362" t="str">
        <f>""</f>
        <v/>
      </c>
      <c r="S362" t="str">
        <f>""</f>
        <v/>
      </c>
      <c r="T362" t="str">
        <f>"https://portaletrasparenza.consorziobacchiglione.it/dettagli/attodigara/804/fornitura-grasso-per-mezzi-consorziali.html"</f>
        <v>https://portaletrasparenza.consorziobacchiglione.it/dettagli/attodigara/804/fornitura-grasso-per-mezzi-consorziali.html</v>
      </c>
      <c r="U362" t="str">
        <f>""</f>
        <v/>
      </c>
      <c r="V362">
        <f>(SUBSTITUTE(Tabella1[[#This Row],[Importo di aggiudicazione]],".",","))-(SUBSTITUTE(  SUBSTITUTE(          SUBSTITUTE(Tabella1[[#This Row],[Dettaglio somme liquidate]],Tabella1[[#This Row],[CIG]]&amp;": [",""),"€ ]",""),".",","))</f>
        <v>10.370000000000118</v>
      </c>
    </row>
    <row r="363" spans="1:22" x14ac:dyDescent="0.3">
      <c r="A363" t="str">
        <f>"Affidamento"</f>
        <v>Affidamento</v>
      </c>
      <c r="B363" t="str">
        <f>"Servizio di raccolta, trasporto e smaltimento del materiale vegetale prodotto dagli sgrigliatori posti in ingresso agli impianti idrovori consortili, per la durata di un anno, con riserva di opzione unilaterale per un ulteriore annualità."</f>
        <v>Servizio di raccolta, trasporto e smaltimento del materiale vegetale prodotto dagli sgrigliatori posti in ingresso agli impianti idrovori consortili, per la durata di un anno, con riserva di opzione unilaterale per un ulteriore annualità.</v>
      </c>
      <c r="C363" t="str">
        <f>"8888168C41"</f>
        <v>8888168C41</v>
      </c>
      <c r="D363" t="str">
        <f>"06/10/2021"</f>
        <v>06/10/2021</v>
      </c>
      <c r="E363" t="str">
        <f>""</f>
        <v/>
      </c>
      <c r="F363" t="str">
        <f>""</f>
        <v/>
      </c>
      <c r="G363" t="str">
        <f>"74300.00"</f>
        <v>74300.00</v>
      </c>
      <c r="H363" t="str">
        <f>"Consorzio di bonifica Bacchiglione"</f>
        <v>Consorzio di bonifica Bacchiglione</v>
      </c>
      <c r="I363" t="str">
        <f>"92223390284"</f>
        <v>92223390284</v>
      </c>
      <c r="J363" t="str">
        <f>"23-AFFIDAMENTO DIRETTO"</f>
        <v>23-AFFIDAMENTO DIRETTO</v>
      </c>
      <c r="K363" t="str">
        <f>"06/10/2021"</f>
        <v>06/10/2021</v>
      </c>
      <c r="L363" t="str">
        <f>"26/01/2022"</f>
        <v>26/01/2022</v>
      </c>
      <c r="M363" t="str">
        <f>""</f>
        <v/>
      </c>
      <c r="N363" t="str">
        <f>"VPS s.r.l. | F.lli GARDIN s.r.l. | General Services s.r.l."</f>
        <v>VPS s.r.l. | F.lli GARDIN s.r.l. | General Services s.r.l.</v>
      </c>
      <c r="O363" t="str">
        <f>"General Services s.r.l."</f>
        <v>General Services s.r.l.</v>
      </c>
      <c r="P363" t="str">
        <f>"8888168C41: [41026.93€ ]"</f>
        <v>8888168C41: [41026.93€ ]</v>
      </c>
      <c r="Q363" t="str">
        <f>""</f>
        <v/>
      </c>
      <c r="R363" t="str">
        <f>""</f>
        <v/>
      </c>
      <c r="S363" t="str">
        <f>""</f>
        <v/>
      </c>
      <c r="T363" t="s">
        <v>80</v>
      </c>
      <c r="U363" t="str">
        <f>"https://portaletrasparenza.consorziobacchiglione.it/download/attodigara/6507/62a20a997de47.PDF"</f>
        <v>https://portaletrasparenza.consorziobacchiglione.it/download/attodigara/6507/62a20a997de47.PDF</v>
      </c>
      <c r="V363">
        <f>(SUBSTITUTE(Tabella1[[#This Row],[Importo di aggiudicazione]],".",","))-(SUBSTITUTE(  SUBSTITUTE(          SUBSTITUTE(Tabella1[[#This Row],[Dettaglio somme liquidate]],Tabella1[[#This Row],[CIG]]&amp;": [",""),"€ ]",""),".",","))</f>
        <v>33273.07</v>
      </c>
    </row>
    <row r="364" spans="1:22" x14ac:dyDescent="0.3">
      <c r="A364" t="str">
        <f>"Affidamento"</f>
        <v>Affidamento</v>
      </c>
      <c r="B364" t="str">
        <f>"Trasporto e smaltimento materiale CER 170604 - guaina catramata derivante dalla sistemazione delle canalette irrigue"</f>
        <v>Trasporto e smaltimento materiale CER 170604 - guaina catramata derivante dalla sistemazione delle canalette irrigue</v>
      </c>
      <c r="C364" t="str">
        <f>"Z12335390A"</f>
        <v>Z12335390A</v>
      </c>
      <c r="D364" t="str">
        <f>"07/10/2021"</f>
        <v>07/10/2021</v>
      </c>
      <c r="E364" t="str">
        <f>""</f>
        <v/>
      </c>
      <c r="F364" t="str">
        <f>""</f>
        <v/>
      </c>
      <c r="G364" t="str">
        <f>"4107.00"</f>
        <v>4107.00</v>
      </c>
      <c r="H364" t="str">
        <f>"Consorzio di bonifica Bacchiglione"</f>
        <v>Consorzio di bonifica Bacchiglione</v>
      </c>
      <c r="I364" t="str">
        <f>"92223390284"</f>
        <v>92223390284</v>
      </c>
      <c r="J364" t="str">
        <f>"23-AFFIDAMENTO DIRETTO"</f>
        <v>23-AFFIDAMENTO DIRETTO</v>
      </c>
      <c r="K364" t="str">
        <f>"06/10/2021"</f>
        <v>06/10/2021</v>
      </c>
      <c r="L364" t="str">
        <f>"20/10/2021"</f>
        <v>20/10/2021</v>
      </c>
      <c r="M364" t="str">
        <f>""</f>
        <v/>
      </c>
      <c r="N364" t="str">
        <f>"V.P.S. srl Via Morandina 3 - 35020 Codevigo (PD)"</f>
        <v>V.P.S. srl Via Morandina 3 - 35020 Codevigo (PD)</v>
      </c>
      <c r="O364" t="str">
        <f>"V.P.S. srl Via Morandina 3 - 35020 Codevigo (PD)"</f>
        <v>V.P.S. srl Via Morandina 3 - 35020 Codevigo (PD)</v>
      </c>
      <c r="P364" t="s">
        <v>195</v>
      </c>
      <c r="Q364" t="str">
        <f>""</f>
        <v/>
      </c>
      <c r="R364" t="str">
        <f>""</f>
        <v/>
      </c>
      <c r="S364" t="str">
        <f>""</f>
        <v/>
      </c>
      <c r="T364" t="str">
        <f>"https://portaletrasparenza.consorziobacchiglione.it/dettagli/attodigara/7199/trasporto-e-smaltimento-materiale-cer-170604-guaina-catramata-derivante-dalla-sistemazione-delle-canalette-irrigue.html"</f>
        <v>https://portaletrasparenza.consorziobacchiglione.it/dettagli/attodigara/7199/trasporto-e-smaltimento-materiale-cer-170604-guaina-catramata-derivante-dalla-sistemazione-delle-canalette-irrigue.html</v>
      </c>
      <c r="U364" t="str">
        <f>"https://portaletrasparenza.consorziobacchiglione.it/download/attodigara/7199/63ac45d6774ca.PDF"</f>
        <v>https://portaletrasparenza.consorziobacchiglione.it/download/attodigara/7199/63ac45d6774ca.PDF</v>
      </c>
      <c r="V3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65" spans="1:22" x14ac:dyDescent="0.3">
      <c r="A365" t="str">
        <f>"Affidamento"</f>
        <v>Affidamento</v>
      </c>
      <c r="B365" t="str">
        <f>"Lavoro di sistemazione perdita scaldabagno presso Sala Consigliare"</f>
        <v>Lavoro di sistemazione perdita scaldabagno presso Sala Consigliare</v>
      </c>
      <c r="C365" t="str">
        <f>"ZF73353AF4"</f>
        <v>ZF73353AF4</v>
      </c>
      <c r="D365" t="str">
        <f>"07/10/2021"</f>
        <v>07/10/2021</v>
      </c>
      <c r="E365" t="str">
        <f>""</f>
        <v/>
      </c>
      <c r="F365" t="str">
        <f>""</f>
        <v/>
      </c>
      <c r="G365" t="str">
        <f>"104.20"</f>
        <v>104.20</v>
      </c>
      <c r="H365" t="str">
        <f>"Consorzio di bonifica Bacchiglione"</f>
        <v>Consorzio di bonifica Bacchiglione</v>
      </c>
      <c r="I365" t="str">
        <f>"92223390284"</f>
        <v>92223390284</v>
      </c>
      <c r="J365" t="str">
        <f>"23-AFFIDAMENTO DIRETTO"</f>
        <v>23-AFFIDAMENTO DIRETTO</v>
      </c>
      <c r="K365" t="str">
        <f>"06/10/2021"</f>
        <v>06/10/2021</v>
      </c>
      <c r="L365" t="str">
        <f>"29/11/2021"</f>
        <v>29/11/2021</v>
      </c>
      <c r="M365" t="str">
        <f>""</f>
        <v/>
      </c>
      <c r="N365" t="str">
        <f>"Giraldo Impianti SNC di Giraldo Danilo e Silvio Via Flli Cervi 1-II 30010 Campolongo Maggiore VE"</f>
        <v>Giraldo Impianti SNC di Giraldo Danilo e Silvio Via Flli Cervi 1-II 30010 Campolongo Maggiore VE</v>
      </c>
      <c r="O365" t="str">
        <f>"Giraldo Impianti SNC di Giraldo Danilo e Silvio Via Flli Cervi 1-II 30010 Campolongo Maggiore VE"</f>
        <v>Giraldo Impianti SNC di Giraldo Danilo e Silvio Via Flli Cervi 1-II 30010 Campolongo Maggiore VE</v>
      </c>
      <c r="P365" t="str">
        <f>"ZF73353AF4: [104.20€ ]"</f>
        <v>ZF73353AF4: [104.20€ ]</v>
      </c>
      <c r="Q365" t="str">
        <f>""</f>
        <v/>
      </c>
      <c r="R365" t="str">
        <f>""</f>
        <v/>
      </c>
      <c r="S365" t="str">
        <f>""</f>
        <v/>
      </c>
      <c r="T365" t="str">
        <f>"https://portaletrasparenza.consorziobacchiglione.it/dettagli/attodigara/7200/lavoro-di-sistemazione-perdita-scaldabagno-presso-sala-consigliare.html"</f>
        <v>https://portaletrasparenza.consorziobacchiglione.it/dettagli/attodigara/7200/lavoro-di-sistemazione-perdita-scaldabagno-presso-sala-consigliare.html</v>
      </c>
      <c r="U365" t="str">
        <f>"https://portaletrasparenza.consorziobacchiglione.it/download/attodigara/7200/63ac45d6bf38d.PDF"</f>
        <v>https://portaletrasparenza.consorziobacchiglione.it/download/attodigara/7200/63ac45d6bf38d.PDF</v>
      </c>
      <c r="V3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66" spans="1:22" x14ac:dyDescent="0.3">
      <c r="A366" t="str">
        <f>"Affidamento"</f>
        <v>Affidamento</v>
      </c>
      <c r="B366" t="str">
        <f>"Fornitura giunti di compensatore a doppio soffietto per tubazioni Idrovora Valli Baldon"</f>
        <v>Fornitura giunti di compensatore a doppio soffietto per tubazioni Idrovora Valli Baldon</v>
      </c>
      <c r="C366" t="str">
        <f>"ZF51C646B9"</f>
        <v>ZF51C646B9</v>
      </c>
      <c r="D366" t="str">
        <f>"04/11/2021"</f>
        <v>04/11/2021</v>
      </c>
      <c r="E366" t="str">
        <f>""</f>
        <v/>
      </c>
      <c r="F366" t="str">
        <f>""</f>
        <v/>
      </c>
      <c r="G366" t="str">
        <f>"16151.00"</f>
        <v>16151.00</v>
      </c>
      <c r="H366" t="str">
        <f>"Consorzio di bonifica Bacchiglione"</f>
        <v>Consorzio di bonifica Bacchiglione</v>
      </c>
      <c r="I366" t="str">
        <f>"92223390284"</f>
        <v>92223390284</v>
      </c>
      <c r="J366" t="str">
        <f>"23-AFFIDAMENTO DIRETTO"</f>
        <v>23-AFFIDAMENTO DIRETTO</v>
      </c>
      <c r="K366" t="str">
        <f>"06/12/2021"</f>
        <v>06/12/2021</v>
      </c>
      <c r="L366" t="str">
        <f>"28/02/2021"</f>
        <v>28/02/2021</v>
      </c>
      <c r="M366" t="str">
        <f>""</f>
        <v/>
      </c>
      <c r="N366" t="str">
        <f>"T.I.S Service S.p.A Via Lago d'Iseo 4-6 - P.I.P. 24060 Bolgare BG | KSB Italia S.p.A. Via Massimo D'Azeglio 32 20863 Concorezzo MB | Steelflex S.r.l. Via Como 10A 20096 Piotello MI"</f>
        <v>T.I.S Service S.p.A Via Lago d'Iseo 4-6 - P.I.P. 24060 Bolgare BG | KSB Italia S.p.A. Via Massimo D'Azeglio 32 20863 Concorezzo MB | Steelflex S.r.l. Via Como 10A 20096 Piotello MI</v>
      </c>
      <c r="O366" t="str">
        <f>"T.I.S Service S.p.A Via Lago d'Iseo 4-6 - P.I.P. 24060 Bolgare BG"</f>
        <v>T.I.S Service S.p.A Via Lago d'Iseo 4-6 - P.I.P. 24060 Bolgare BG</v>
      </c>
      <c r="P366" t="str">
        <f>"ZF51C646B9: [16151.00€ ]"</f>
        <v>ZF51C646B9: [16151.00€ ]</v>
      </c>
      <c r="Q366" t="str">
        <f>""</f>
        <v/>
      </c>
      <c r="R366" t="str">
        <f>""</f>
        <v/>
      </c>
      <c r="S366" t="str">
        <f>""</f>
        <v/>
      </c>
      <c r="T366" t="str">
        <f>"https://portaletrasparenza.consorziobacchiglione.it/dettagli/attodigara/980/fornitura-giunti-di-compensatore-a-doppio-soffietto-per-tubazioni-idrovora-valli-baldon.html"</f>
        <v>https://portaletrasparenza.consorziobacchiglione.it/dettagli/attodigara/980/fornitura-giunti-di-compensatore-a-doppio-soffietto-per-tubazioni-idrovora-valli-baldon.html</v>
      </c>
      <c r="U366" t="str">
        <f>""</f>
        <v/>
      </c>
      <c r="V36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67" spans="1:22" x14ac:dyDescent="0.3">
      <c r="A367" t="str">
        <f>"Affidamento"</f>
        <v>Affidamento</v>
      </c>
      <c r="B367" t="str">
        <f>"Smont/montaggio , riparazione copertura, inversione ant/post su mezzi con targa : DA205YW, PDAF496, CB934XY, AHH573, PDB49361, DN881SC, EW924ED, AKA712."</f>
        <v>Smont/montaggio , riparazione copertura, inversione ant/post su mezzi con targa : DA205YW, PDAF496, CB934XY, AHH573, PDB49361, DN881SC, EW924ED, AKA712.</v>
      </c>
      <c r="C367" t="str">
        <f>"Z4B1C64215"</f>
        <v>Z4B1C64215</v>
      </c>
      <c r="D367" t="str">
        <f>"04/11/2021"</f>
        <v>04/11/2021</v>
      </c>
      <c r="E367" t="str">
        <f>""</f>
        <v/>
      </c>
      <c r="F367" t="str">
        <f>""</f>
        <v/>
      </c>
      <c r="G367" t="str">
        <f>"550.00"</f>
        <v>550.00</v>
      </c>
      <c r="H367" t="str">
        <f>"Consorzio di bonifica Bacchiglione"</f>
        <v>Consorzio di bonifica Bacchiglione</v>
      </c>
      <c r="I367" t="str">
        <f>"92223390284"</f>
        <v>92223390284</v>
      </c>
      <c r="J367" t="str">
        <f>"23-AFFIDAMENTO DIRETTO"</f>
        <v>23-AFFIDAMENTO DIRETTO</v>
      </c>
      <c r="K367" t="str">
        <f>"06/12/2021"</f>
        <v>06/12/2021</v>
      </c>
      <c r="L367" t="str">
        <f>"22/12/2021"</f>
        <v>22/12/2021</v>
      </c>
      <c r="M367" t="str">
        <f>""</f>
        <v/>
      </c>
      <c r="N367" t="str">
        <f>"Galesso Roberto Via San Rocco 52B 35028 Piove di Sacco PD"</f>
        <v>Galesso Roberto Via San Rocco 52B 35028 Piove di Sacco PD</v>
      </c>
      <c r="O367" t="str">
        <f>"Galesso Roberto Via San Rocco 52B 35028 Piove di Sacco PD"</f>
        <v>Galesso Roberto Via San Rocco 52B 35028 Piove di Sacco PD</v>
      </c>
      <c r="P367" t="str">
        <f>"Z4B1C64215: [550.00€ ]"</f>
        <v>Z4B1C64215: [550.00€ ]</v>
      </c>
      <c r="Q367" t="str">
        <f>""</f>
        <v/>
      </c>
      <c r="R367" t="str">
        <f>""</f>
        <v/>
      </c>
      <c r="S367" t="str">
        <f>""</f>
        <v/>
      </c>
      <c r="T367" t="str">
        <f>"https://portaletrasparenza.consorziobacchiglione.it/dettagli/attodigara/978/smont-montaggio-riparazione-copertura-inversione-ant-post-su-mezzi-con-targa-da205yw-pdaf496-cb934xy-ahh573-pdb49361-dn881sc-ew924ed-aka712.html"</f>
        <v>https://portaletrasparenza.consorziobacchiglione.it/dettagli/attodigara/978/smont-montaggio-riparazione-copertura-inversione-ant-post-su-mezzi-con-targa-da205yw-pdaf496-cb934xy-ahh573-pdb49361-dn881sc-ew924ed-aka712.html</v>
      </c>
      <c r="U367" t="str">
        <f>""</f>
        <v/>
      </c>
      <c r="V36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68" spans="1:22" x14ac:dyDescent="0.3">
      <c r="A368" t="str">
        <f>"Affidamento"</f>
        <v>Affidamento</v>
      </c>
      <c r="B368" t="str">
        <f>"Lavoro di smontaggio completo, pulizia generale, sabbiatura di tutti i componenti su elettrovalvola Mod. ED100 Idrovora Lova.."</f>
        <v>Lavoro di smontaggio completo, pulizia generale, sabbiatura di tutti i componenti su elettrovalvola Mod. ED100 Idrovora Lova..</v>
      </c>
      <c r="C368" t="str">
        <f>"Z611C63E35"</f>
        <v>Z611C63E35</v>
      </c>
      <c r="D368" t="str">
        <f>"04/11/2021"</f>
        <v>04/11/2021</v>
      </c>
      <c r="E368" t="str">
        <f>""</f>
        <v/>
      </c>
      <c r="F368" t="str">
        <f>""</f>
        <v/>
      </c>
      <c r="G368" t="str">
        <f>"738.00"</f>
        <v>738.00</v>
      </c>
      <c r="H368" t="str">
        <f>"Consorzio di bonifica Bacchiglione"</f>
        <v>Consorzio di bonifica Bacchiglione</v>
      </c>
      <c r="I368" t="str">
        <f>"92223390284"</f>
        <v>92223390284</v>
      </c>
      <c r="J368" t="str">
        <f>"23-AFFIDAMENTO DIRETTO"</f>
        <v>23-AFFIDAMENTO DIRETTO</v>
      </c>
      <c r="K368" t="str">
        <f>"06/12/2021"</f>
        <v>06/12/2021</v>
      </c>
      <c r="L368" t="str">
        <f>"31/01/2021"</f>
        <v>31/01/2021</v>
      </c>
      <c r="M368" t="str">
        <f>""</f>
        <v/>
      </c>
      <c r="N368" t="str">
        <f>"Scarpa Sergio Elettromeccanica S.n.c. di Scarpa Paola E C. Via A. Vivaldi 7 35028 Piove di Sacco PD"</f>
        <v>Scarpa Sergio Elettromeccanica S.n.c. di Scarpa Paola E C. Via A. Vivaldi 7 35028 Piove di Sacco PD</v>
      </c>
      <c r="O368" t="str">
        <f>"Scarpa Sergio Elettromeccanica S.n.c. di Scarpa Paola E C. Via A. Vivaldi 7 35028 Piove di Sacco PD"</f>
        <v>Scarpa Sergio Elettromeccanica S.n.c. di Scarpa Paola E C. Via A. Vivaldi 7 35028 Piove di Sacco PD</v>
      </c>
      <c r="P368" t="str">
        <f>"Z611C63E35: [738.00€ ]"</f>
        <v>Z611C63E35: [738.00€ ]</v>
      </c>
      <c r="Q368" t="str">
        <f>""</f>
        <v/>
      </c>
      <c r="R368" t="str">
        <f>""</f>
        <v/>
      </c>
      <c r="S368" t="str">
        <f>""</f>
        <v/>
      </c>
      <c r="T368" t="str">
        <f>"https://portaletrasparenza.consorziobacchiglione.it/dettagli/attodigara/977/lavoro-di-smontaggio-completo-pulizia-generale-sabbiatura-di-tutti-i-componenti-su-elettrovalvola-mod-ed100-idrovora-lova.html"</f>
        <v>https://portaletrasparenza.consorziobacchiglione.it/dettagli/attodigara/977/lavoro-di-smontaggio-completo-pulizia-generale-sabbiatura-di-tutti-i-componenti-su-elettrovalvola-mod-ed100-idrovora-lova.html</v>
      </c>
      <c r="U368" t="str">
        <f>""</f>
        <v/>
      </c>
      <c r="V3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69" spans="1:22" x14ac:dyDescent="0.3">
      <c r="A369" t="str">
        <f>"Affidamento"</f>
        <v>Affidamento</v>
      </c>
      <c r="B369" t="str">
        <f>"Fornitura n 12 ventole su Soft Starter Danfoss serie MCD 3700 Idrovora Cà Nordio."</f>
        <v>Fornitura n 12 ventole su Soft Starter Danfoss serie MCD 3700 Idrovora Cà Nordio.</v>
      </c>
      <c r="C369" t="str">
        <f>"Z9B1C63C31"</f>
        <v>Z9B1C63C31</v>
      </c>
      <c r="D369" t="str">
        <f>"04/11/2021"</f>
        <v>04/11/2021</v>
      </c>
      <c r="E369" t="str">
        <f>""</f>
        <v/>
      </c>
      <c r="F369" t="str">
        <f>""</f>
        <v/>
      </c>
      <c r="G369" t="str">
        <f>"6444.00"</f>
        <v>6444.00</v>
      </c>
      <c r="H369" t="str">
        <f>"Consorzio di bonifica Bacchiglione"</f>
        <v>Consorzio di bonifica Bacchiglione</v>
      </c>
      <c r="I369" t="str">
        <f>"92223390284"</f>
        <v>92223390284</v>
      </c>
      <c r="J369" t="str">
        <f>"23-AFFIDAMENTO DIRETTO"</f>
        <v>23-AFFIDAMENTO DIRETTO</v>
      </c>
      <c r="K369" t="str">
        <f>"06/12/2021"</f>
        <v>06/12/2021</v>
      </c>
      <c r="L369" t="str">
        <f>"17/02/2021"</f>
        <v>17/02/2021</v>
      </c>
      <c r="M369" t="str">
        <f>""</f>
        <v/>
      </c>
      <c r="N369" t="str">
        <f>"Servizi Tecnologici S.r.l.Via Casa Cucchi, 9 - 37024 Negrar di Valpolicella (VR)"</f>
        <v>Servizi Tecnologici S.r.l.Via Casa Cucchi, 9 - 37024 Negrar di Valpolicella (VR)</v>
      </c>
      <c r="O369" t="str">
        <f>"Servizi Tecnologici S.r.l.Via Casa Cucchi, 9 - 37024 Negrar di Valpolicella (VR)"</f>
        <v>Servizi Tecnologici S.r.l.Via Casa Cucchi, 9 - 37024 Negrar di Valpolicella (VR)</v>
      </c>
      <c r="P369" t="str">
        <f>"Z9B1C63C31: [6444.00€ ]"</f>
        <v>Z9B1C63C31: [6444.00€ ]</v>
      </c>
      <c r="Q369" t="str">
        <f>""</f>
        <v/>
      </c>
      <c r="R369" t="str">
        <f>""</f>
        <v/>
      </c>
      <c r="S369" t="str">
        <f>""</f>
        <v/>
      </c>
      <c r="T369" t="str">
        <f>"https://portaletrasparenza.consorziobacchiglione.it/dettagli/attodigara/976/fornitura-n-12-ventole-su-soft-starter-danfoss-serie-mcd-3700-idrovora-ca-nordio.html"</f>
        <v>https://portaletrasparenza.consorziobacchiglione.it/dettagli/attodigara/976/fornitura-n-12-ventole-su-soft-starter-danfoss-serie-mcd-3700-idrovora-ca-nordio.html</v>
      </c>
      <c r="U369" t="str">
        <f>""</f>
        <v/>
      </c>
      <c r="V36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70" spans="1:22" x14ac:dyDescent="0.3">
      <c r="A370" t="str">
        <f>"Affidamento"</f>
        <v>Affidamento</v>
      </c>
      <c r="B370" t="str">
        <f>"Fornitura n 2 Hard Disk 2TB SATA 3 per Server C.O.S.Margherita"</f>
        <v>Fornitura n 2 Hard Disk 2TB SATA 3 per Server C.O.S.Margherita</v>
      </c>
      <c r="C370" t="str">
        <f>"ZA81C61393"</f>
        <v>ZA81C61393</v>
      </c>
      <c r="D370" t="str">
        <f>"04/11/2021"</f>
        <v>04/11/2021</v>
      </c>
      <c r="E370" t="str">
        <f>""</f>
        <v/>
      </c>
      <c r="F370" t="str">
        <f>""</f>
        <v/>
      </c>
      <c r="G370" t="str">
        <f>"160.00"</f>
        <v>160.00</v>
      </c>
      <c r="H370" t="str">
        <f>"Consorzio di bonifica Bacchiglione"</f>
        <v>Consorzio di bonifica Bacchiglione</v>
      </c>
      <c r="I370" t="str">
        <f>"92223390284"</f>
        <v>92223390284</v>
      </c>
      <c r="J370" t="str">
        <f>"23-AFFIDAMENTO DIRETTO"</f>
        <v>23-AFFIDAMENTO DIRETTO</v>
      </c>
      <c r="K370" t="str">
        <f>"06/12/2021"</f>
        <v>06/12/2021</v>
      </c>
      <c r="L370" t="str">
        <f>"31/12/2021"</f>
        <v>31/12/2021</v>
      </c>
      <c r="M370" t="str">
        <f>""</f>
        <v/>
      </c>
      <c r="N370" t="str">
        <f>"Omniwork Via Passo Fogolana 45 35020 Codevigo PD"</f>
        <v>Omniwork Via Passo Fogolana 45 35020 Codevigo PD</v>
      </c>
      <c r="O370" t="str">
        <f>"Omniwork Via Passo Fogolana 45 35020 Codevigo PD"</f>
        <v>Omniwork Via Passo Fogolana 45 35020 Codevigo PD</v>
      </c>
      <c r="P370" t="str">
        <f>"ZA81C61393: [160.00€ ]"</f>
        <v>ZA81C61393: [160.00€ ]</v>
      </c>
      <c r="Q370" t="str">
        <f>""</f>
        <v/>
      </c>
      <c r="R370" t="str">
        <f>""</f>
        <v/>
      </c>
      <c r="S370" t="str">
        <f>""</f>
        <v/>
      </c>
      <c r="T370" t="str">
        <f>"https://portaletrasparenza.consorziobacchiglione.it/dettagli/attodigara/971/fornitura-n-2-hard-disk-2tb-sata-3-per-server-c-o-s-margherita.html"</f>
        <v>https://portaletrasparenza.consorziobacchiglione.it/dettagli/attodigara/971/fornitura-n-2-hard-disk-2tb-sata-3-per-server-c-o-s-margherita.html</v>
      </c>
      <c r="U370" t="str">
        <f>""</f>
        <v/>
      </c>
      <c r="V37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71" spans="1:22" x14ac:dyDescent="0.3">
      <c r="A371" t="str">
        <f>"Affidamento"</f>
        <v>Affidamento</v>
      </c>
      <c r="B371" t="str">
        <f>"Fornitura Inverter in Quadro 500KW-690V - pompa 5 Cambroso"</f>
        <v>Fornitura Inverter in Quadro 500KW-690V - pompa 5 Cambroso</v>
      </c>
      <c r="C371" t="str">
        <f>"Z291C638EB"</f>
        <v>Z291C638EB</v>
      </c>
      <c r="D371" t="str">
        <f>"04/11/2021"</f>
        <v>04/11/2021</v>
      </c>
      <c r="E371" t="str">
        <f>""</f>
        <v/>
      </c>
      <c r="F371" t="str">
        <f>""</f>
        <v/>
      </c>
      <c r="G371" t="str">
        <f>"24722.00"</f>
        <v>24722.00</v>
      </c>
      <c r="H371" t="str">
        <f>"Consorzio di bonifica Bacchiglione"</f>
        <v>Consorzio di bonifica Bacchiglione</v>
      </c>
      <c r="I371" t="str">
        <f>"92223390284"</f>
        <v>92223390284</v>
      </c>
      <c r="J371" t="str">
        <f>"23-AFFIDAMENTO DIRETTO"</f>
        <v>23-AFFIDAMENTO DIRETTO</v>
      </c>
      <c r="K371" t="str">
        <f>"06/12/2021"</f>
        <v>06/12/2021</v>
      </c>
      <c r="L371" t="str">
        <f>"22/03/2021"</f>
        <v>22/03/2021</v>
      </c>
      <c r="M371" t="str">
        <f>""</f>
        <v/>
      </c>
      <c r="N371" t="str">
        <f>"SCHNEIDER ELECTRIC S.P.A. Via Circonvallazione Est, 1 - 24040 Stezzano (BG)"</f>
        <v>SCHNEIDER ELECTRIC S.P.A. Via Circonvallazione Est, 1 - 24040 Stezzano (BG)</v>
      </c>
      <c r="O371" t="str">
        <f>"SCHNEIDER ELECTRIC S.P.A. Via Circonvallazione Est, 1 - 24040 Stezzano (BG)"</f>
        <v>SCHNEIDER ELECTRIC S.P.A. Via Circonvallazione Est, 1 - 24040 Stezzano (BG)</v>
      </c>
      <c r="P371" t="str">
        <f>"Z291C638EB: [24721.50€ ]"</f>
        <v>Z291C638EB: [24721.50€ ]</v>
      </c>
      <c r="Q371" t="str">
        <f>""</f>
        <v/>
      </c>
      <c r="R371" t="str">
        <f>""</f>
        <v/>
      </c>
      <c r="S371" t="str">
        <f>""</f>
        <v/>
      </c>
      <c r="T371" t="str">
        <f>"https://portaletrasparenza.consorziobacchiglione.it/dettagli/attodigara/975/fornitura-inverter-in-quadro-500kw-690v-pompa-5-cambroso.html"</f>
        <v>https://portaletrasparenza.consorziobacchiglione.it/dettagli/attodigara/975/fornitura-inverter-in-quadro-500kw-690v-pompa-5-cambroso.html</v>
      </c>
      <c r="U371" t="str">
        <f>""</f>
        <v/>
      </c>
      <c r="V371">
        <f>(SUBSTITUTE(Tabella1[[#This Row],[Importo di aggiudicazione]],".",","))-(SUBSTITUTE(  SUBSTITUTE(          SUBSTITUTE(Tabella1[[#This Row],[Dettaglio somme liquidate]],Tabella1[[#This Row],[CIG]]&amp;": [",""),"€ ]",""),".",","))</f>
        <v>0.5</v>
      </c>
    </row>
    <row r="372" spans="1:22" x14ac:dyDescent="0.3">
      <c r="A372" t="str">
        <f>"Affidamento"</f>
        <v>Affidamento</v>
      </c>
      <c r="B372" t="str">
        <f>"Fornitura Inverter in Quadro 500KW-690V - pompa 6 Cambroso"</f>
        <v>Fornitura Inverter in Quadro 500KW-690V - pompa 6 Cambroso</v>
      </c>
      <c r="C372" t="str">
        <f>"Z791C637EE"</f>
        <v>Z791C637EE</v>
      </c>
      <c r="D372" t="str">
        <f>"04/11/2021"</f>
        <v>04/11/2021</v>
      </c>
      <c r="E372" t="str">
        <f>""</f>
        <v/>
      </c>
      <c r="F372" t="str">
        <f>""</f>
        <v/>
      </c>
      <c r="G372" t="str">
        <f>"24722.00"</f>
        <v>24722.00</v>
      </c>
      <c r="H372" t="str">
        <f>"Consorzio di bonifica Bacchiglione"</f>
        <v>Consorzio di bonifica Bacchiglione</v>
      </c>
      <c r="I372" t="str">
        <f>"92223390284"</f>
        <v>92223390284</v>
      </c>
      <c r="J372" t="str">
        <f>"23-AFFIDAMENTO DIRETTO"</f>
        <v>23-AFFIDAMENTO DIRETTO</v>
      </c>
      <c r="K372" t="str">
        <f>"06/12/2021"</f>
        <v>06/12/2021</v>
      </c>
      <c r="L372" t="str">
        <f>"31/03/2021"</f>
        <v>31/03/2021</v>
      </c>
      <c r="M372" t="str">
        <f>""</f>
        <v/>
      </c>
      <c r="N372" t="str">
        <f>"SCHNEIDER ELECTRIC S.P.A. Via Circonvallazione Est, 1 - 24040 Stezzano (BG)"</f>
        <v>SCHNEIDER ELECTRIC S.P.A. Via Circonvallazione Est, 1 - 24040 Stezzano (BG)</v>
      </c>
      <c r="O372" t="str">
        <f>"SCHNEIDER ELECTRIC S.P.A. Via Circonvallazione Est, 1 - 24040 Stezzano (BG)"</f>
        <v>SCHNEIDER ELECTRIC S.P.A. Via Circonvallazione Est, 1 - 24040 Stezzano (BG)</v>
      </c>
      <c r="P372" t="str">
        <f>"Z791C637EE: [24721.50€ ]"</f>
        <v>Z791C637EE: [24721.50€ ]</v>
      </c>
      <c r="Q372" t="str">
        <f>""</f>
        <v/>
      </c>
      <c r="R372" t="str">
        <f>""</f>
        <v/>
      </c>
      <c r="S372" t="str">
        <f>""</f>
        <v/>
      </c>
      <c r="T372" t="str">
        <f>"https://portaletrasparenza.consorziobacchiglione.it/dettagli/attodigara/974/fornitura-inverter-in-quadro-500kw-690v-pompa-6-cambroso.html"</f>
        <v>https://portaletrasparenza.consorziobacchiglione.it/dettagli/attodigara/974/fornitura-inverter-in-quadro-500kw-690v-pompa-6-cambroso.html</v>
      </c>
      <c r="U372" t="str">
        <f>""</f>
        <v/>
      </c>
      <c r="V372">
        <f>(SUBSTITUTE(Tabella1[[#This Row],[Importo di aggiudicazione]],".",","))-(SUBSTITUTE(  SUBSTITUTE(          SUBSTITUTE(Tabella1[[#This Row],[Dettaglio somme liquidate]],Tabella1[[#This Row],[CIG]]&amp;": [",""),"€ ]",""),".",","))</f>
        <v>0.5</v>
      </c>
    </row>
    <row r="373" spans="1:22" x14ac:dyDescent="0.3">
      <c r="A373" t="str">
        <f>"Affidamento"</f>
        <v>Affidamento</v>
      </c>
      <c r="B373" t="str">
        <f>"Fornitura Inverter in Quadro 500KW-690V - pompa 4 Cambroso"</f>
        <v>Fornitura Inverter in Quadro 500KW-690V - pompa 4 Cambroso</v>
      </c>
      <c r="C373" t="str">
        <f>"Z711C636C1"</f>
        <v>Z711C636C1</v>
      </c>
      <c r="D373" t="str">
        <f>"04/11/2021"</f>
        <v>04/11/2021</v>
      </c>
      <c r="E373" t="str">
        <f>""</f>
        <v/>
      </c>
      <c r="F373" t="str">
        <f>""</f>
        <v/>
      </c>
      <c r="G373" t="str">
        <f>"24722.00"</f>
        <v>24722.00</v>
      </c>
      <c r="H373" t="str">
        <f>"Consorzio di bonifica Bacchiglione"</f>
        <v>Consorzio di bonifica Bacchiglione</v>
      </c>
      <c r="I373" t="str">
        <f>"92223390284"</f>
        <v>92223390284</v>
      </c>
      <c r="J373" t="str">
        <f>"23-AFFIDAMENTO DIRETTO"</f>
        <v>23-AFFIDAMENTO DIRETTO</v>
      </c>
      <c r="K373" t="str">
        <f>"06/12/2021"</f>
        <v>06/12/2021</v>
      </c>
      <c r="L373" t="str">
        <f>"31/03/2021"</f>
        <v>31/03/2021</v>
      </c>
      <c r="M373" t="str">
        <f>""</f>
        <v/>
      </c>
      <c r="N373" t="str">
        <f>"SCHNEIDER ELECTRIC S.P.A. Via Circonvallazione Est, 1 - 24040 Stezzano (BG)"</f>
        <v>SCHNEIDER ELECTRIC S.P.A. Via Circonvallazione Est, 1 - 24040 Stezzano (BG)</v>
      </c>
      <c r="O373" t="str">
        <f>"SCHNEIDER ELECTRIC S.P.A. Via Circonvallazione Est, 1 - 24040 Stezzano (BG)"</f>
        <v>SCHNEIDER ELECTRIC S.P.A. Via Circonvallazione Est, 1 - 24040 Stezzano (BG)</v>
      </c>
      <c r="P373" t="str">
        <f>"Z711C636C1: [24721.50€ ]"</f>
        <v>Z711C636C1: [24721.50€ ]</v>
      </c>
      <c r="Q373" t="str">
        <f>""</f>
        <v/>
      </c>
      <c r="R373" t="str">
        <f>""</f>
        <v/>
      </c>
      <c r="S373" t="str">
        <f>""</f>
        <v/>
      </c>
      <c r="T373" t="str">
        <f>"https://portaletrasparenza.consorziobacchiglione.it/dettagli/attodigara/973/fornitura-inverter-in-quadro-500kw-690v-pompa-4-cambroso.html"</f>
        <v>https://portaletrasparenza.consorziobacchiglione.it/dettagli/attodigara/973/fornitura-inverter-in-quadro-500kw-690v-pompa-4-cambroso.html</v>
      </c>
      <c r="U373" t="str">
        <f>""</f>
        <v/>
      </c>
      <c r="V373">
        <f>(SUBSTITUTE(Tabella1[[#This Row],[Importo di aggiudicazione]],".",","))-(SUBSTITUTE(  SUBSTITUTE(          SUBSTITUTE(Tabella1[[#This Row],[Dettaglio somme liquidate]],Tabella1[[#This Row],[CIG]]&amp;": [",""),"€ ]",""),".",","))</f>
        <v>0.5</v>
      </c>
    </row>
    <row r="374" spans="1:22" x14ac:dyDescent="0.3">
      <c r="A374" t="str">
        <f>"Affidamento"</f>
        <v>Affidamento</v>
      </c>
      <c r="B374" t="str">
        <f>"Fornitura n 3 viaggi di terra per Idrovora Valli di Camin."</f>
        <v>Fornitura n 3 viaggi di terra per Idrovora Valli di Camin.</v>
      </c>
      <c r="C374" t="str">
        <f>"Z921C64392"</f>
        <v>Z921C64392</v>
      </c>
      <c r="D374" t="str">
        <f>"04/11/2021"</f>
        <v>04/11/2021</v>
      </c>
      <c r="E374" t="str">
        <f>""</f>
        <v/>
      </c>
      <c r="F374" t="str">
        <f>""</f>
        <v/>
      </c>
      <c r="G374" t="str">
        <f>"360.00"</f>
        <v>360.00</v>
      </c>
      <c r="H374" t="str">
        <f>"Consorzio di bonifica Bacchiglione"</f>
        <v>Consorzio di bonifica Bacchiglione</v>
      </c>
      <c r="I374" t="str">
        <f>"92223390284"</f>
        <v>92223390284</v>
      </c>
      <c r="J374" t="str">
        <f>"23-AFFIDAMENTO DIRETTO"</f>
        <v>23-AFFIDAMENTO DIRETTO</v>
      </c>
      <c r="K374" t="str">
        <f>"06/12/2021"</f>
        <v>06/12/2021</v>
      </c>
      <c r="L374" t="str">
        <f>"31/12/2021"</f>
        <v>31/12/2021</v>
      </c>
      <c r="M374" t="str">
        <f>""</f>
        <v/>
      </c>
      <c r="N374" t="str">
        <f>"Costruzioni Ing. Carlo Broetto S.L.R. Via Meucci 1 35037 Teolo PD"</f>
        <v>Costruzioni Ing. Carlo Broetto S.L.R. Via Meucci 1 35037 Teolo PD</v>
      </c>
      <c r="O374" t="str">
        <f>"Costruzioni Ing. Carlo Broetto S.L.R. Via Meucci 1 35037 Teolo PD"</f>
        <v>Costruzioni Ing. Carlo Broetto S.L.R. Via Meucci 1 35037 Teolo PD</v>
      </c>
      <c r="P374" t="str">
        <f>"Z921C64392: [0.00€ ]"</f>
        <v>Z921C64392: [0.00€ ]</v>
      </c>
      <c r="Q374" t="str">
        <f>""</f>
        <v/>
      </c>
      <c r="R374" t="str">
        <f>""</f>
        <v/>
      </c>
      <c r="S374" t="str">
        <f>""</f>
        <v/>
      </c>
      <c r="T374" t="str">
        <f>"https://portaletrasparenza.consorziobacchiglione.it/dettagli/attodigara/979/fornitura-n-3-viaggi-di-terra-per-idrovora-valli-di-camin.html"</f>
        <v>https://portaletrasparenza.consorziobacchiglione.it/dettagli/attodigara/979/fornitura-n-3-viaggi-di-terra-per-idrovora-valli-di-camin.html</v>
      </c>
      <c r="U374" t="str">
        <f>""</f>
        <v/>
      </c>
      <c r="V374">
        <f>(SUBSTITUTE(Tabella1[[#This Row],[Importo di aggiudicazione]],".",","))-(SUBSTITUTE(  SUBSTITUTE(          SUBSTITUTE(Tabella1[[#This Row],[Dettaglio somme liquidate]],Tabella1[[#This Row],[CIG]]&amp;": [",""),"€ ]",""),".",","))</f>
        <v>360</v>
      </c>
    </row>
    <row r="375" spans="1:22" x14ac:dyDescent="0.3">
      <c r="A375" t="str">
        <f>"Affidamento"</f>
        <v>Affidamento</v>
      </c>
      <c r="B375" t="str">
        <f>"Spostamento rosta da Idrovora Maestro e Baldon a deposito Viale Valter."</f>
        <v>Spostamento rosta da Idrovora Maestro e Baldon a deposito Viale Valter.</v>
      </c>
      <c r="C375" t="str">
        <f>"Z231C63361"</f>
        <v>Z231C63361</v>
      </c>
      <c r="D375" t="str">
        <f>"04/11/2021"</f>
        <v>04/11/2021</v>
      </c>
      <c r="E375" t="str">
        <f>""</f>
        <v/>
      </c>
      <c r="F375" t="str">
        <f>""</f>
        <v/>
      </c>
      <c r="G375" t="str">
        <f>"8500.00"</f>
        <v>8500.00</v>
      </c>
      <c r="H375" t="str">
        <f>"Consorzio di bonifica Bacchiglione"</f>
        <v>Consorzio di bonifica Bacchiglione</v>
      </c>
      <c r="I375" t="str">
        <f>"92223390284"</f>
        <v>92223390284</v>
      </c>
      <c r="J375" t="str">
        <f>"23-AFFIDAMENTO DIRETTO"</f>
        <v>23-AFFIDAMENTO DIRETTO</v>
      </c>
      <c r="K375" t="str">
        <f>"06/12/2021"</f>
        <v>06/12/2021</v>
      </c>
      <c r="L375" t="str">
        <f>"05/01/2021"</f>
        <v>05/01/2021</v>
      </c>
      <c r="M375" t="str">
        <f>""</f>
        <v/>
      </c>
      <c r="N375" t="str">
        <f>"Viale Valter Via 1° Maggio 124 30010 Campagna Lupia VE"</f>
        <v>Viale Valter Via 1° Maggio 124 30010 Campagna Lupia VE</v>
      </c>
      <c r="O375" t="str">
        <f>"Viale Valter Via 1° Maggio 124 30010 Campagna Lupia VE"</f>
        <v>Viale Valter Via 1° Maggio 124 30010 Campagna Lupia VE</v>
      </c>
      <c r="P375" t="str">
        <f>"Z231C63361: [6375.00€ ]"</f>
        <v>Z231C63361: [6375.00€ ]</v>
      </c>
      <c r="Q375" t="str">
        <f>""</f>
        <v/>
      </c>
      <c r="R375" t="str">
        <f>""</f>
        <v/>
      </c>
      <c r="S375" t="str">
        <f>""</f>
        <v/>
      </c>
      <c r="T375" t="str">
        <f>"https://portaletrasparenza.consorziobacchiglione.it/dettagli/attodigara/972/spostamento-rosta-da-idrovora-maestro-e-baldon-a-deposito-viale-valter.html"</f>
        <v>https://portaletrasparenza.consorziobacchiglione.it/dettagli/attodigara/972/spostamento-rosta-da-idrovora-maestro-e-baldon-a-deposito-viale-valter.html</v>
      </c>
      <c r="U375" t="str">
        <f>""</f>
        <v/>
      </c>
      <c r="V375">
        <f>(SUBSTITUTE(Tabella1[[#This Row],[Importo di aggiudicazione]],".",","))-(SUBSTITUTE(  SUBSTITUTE(          SUBSTITUTE(Tabella1[[#This Row],[Dettaglio somme liquidate]],Tabella1[[#This Row],[CIG]]&amp;": [",""),"€ ]",""),".",","))</f>
        <v>2125</v>
      </c>
    </row>
    <row r="376" spans="1:22" x14ac:dyDescent="0.3">
      <c r="A376" t="str">
        <f>"Affidamento"</f>
        <v>Affidamento</v>
      </c>
      <c r="B376" t="str">
        <f>"Sistemazione tubo mandata e controllo gru del mezzo targato: EP107XC"</f>
        <v>Sistemazione tubo mandata e controllo gru del mezzo targato: EP107XC</v>
      </c>
      <c r="C376" t="str">
        <f>"Z9E3443CF4"</f>
        <v>Z9E3443CF4</v>
      </c>
      <c r="D376" t="str">
        <f>"07/12/2021"</f>
        <v>07/12/2021</v>
      </c>
      <c r="E376" t="str">
        <f>""</f>
        <v/>
      </c>
      <c r="F376" t="str">
        <f>""</f>
        <v/>
      </c>
      <c r="G376" t="str">
        <f>"379.80"</f>
        <v>379.80</v>
      </c>
      <c r="H376" t="str">
        <f>"Consorzio di bonifica Bacchiglione"</f>
        <v>Consorzio di bonifica Bacchiglione</v>
      </c>
      <c r="I376" t="str">
        <f>"92223390284"</f>
        <v>92223390284</v>
      </c>
      <c r="J376" t="str">
        <f>"23-AFFIDAMENTO DIRETTO"</f>
        <v>23-AFFIDAMENTO DIRETTO</v>
      </c>
      <c r="K376" t="str">
        <f>"06/12/2021"</f>
        <v>06/12/2021</v>
      </c>
      <c r="L376" t="str">
        <f>"17/12/2021"</f>
        <v>17/12/2021</v>
      </c>
      <c r="M376" t="str">
        <f>""</f>
        <v/>
      </c>
      <c r="N376" t="str">
        <f>"Moressa s.r.l. Via Cuccara 2 35020 Due Carrare PD"</f>
        <v>Moressa s.r.l. Via Cuccara 2 35020 Due Carrare PD</v>
      </c>
      <c r="O376" t="str">
        <f>"Moressa s.r.l. Via Cuccara 2 35020 Due Carrare PD"</f>
        <v>Moressa s.r.l. Via Cuccara 2 35020 Due Carrare PD</v>
      </c>
      <c r="P376" t="s">
        <v>280</v>
      </c>
      <c r="Q376" t="str">
        <f>""</f>
        <v/>
      </c>
      <c r="R376" t="str">
        <f>""</f>
        <v/>
      </c>
      <c r="S376" t="str">
        <f>""</f>
        <v/>
      </c>
      <c r="T376" t="str">
        <f>"https://portaletrasparenza.consorziobacchiglione.it/dettagli/attodigara/7338/sistemazione-tubo-mandata-e-controllo-gru-del-mezzo-targato-ep107xc.html"</f>
        <v>https://portaletrasparenza.consorziobacchiglione.it/dettagli/attodigara/7338/sistemazione-tubo-mandata-e-controllo-gru-del-mezzo-targato-ep107xc.html</v>
      </c>
      <c r="U376" t="str">
        <f>"https://portaletrasparenza.consorziobacchiglione.it/download/attodigara/7338/63ac45f75de84.PDF"</f>
        <v>https://portaletrasparenza.consorziobacchiglione.it/download/attodigara/7338/63ac45f75de84.PDF</v>
      </c>
      <c r="V37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77" spans="1:22" x14ac:dyDescent="0.3">
      <c r="A377" t="str">
        <f>"Affidamento"</f>
        <v>Affidamento</v>
      </c>
      <c r="B377" t="str">
        <f>"Sostituzione cerchio in ferro e pneumatico del mezzo targato: EW924ED"</f>
        <v>Sostituzione cerchio in ferro e pneumatico del mezzo targato: EW924ED</v>
      </c>
      <c r="C377" t="str">
        <f>"Z133444B74"</f>
        <v>Z133444B74</v>
      </c>
      <c r="D377" t="str">
        <f>"07/12/2021"</f>
        <v>07/12/2021</v>
      </c>
      <c r="E377" t="str">
        <f>""</f>
        <v/>
      </c>
      <c r="F377" t="str">
        <f>""</f>
        <v/>
      </c>
      <c r="G377" t="str">
        <f>"253.50"</f>
        <v>253.50</v>
      </c>
      <c r="H377" t="str">
        <f>"Consorzio di bonifica Bacchiglione"</f>
        <v>Consorzio di bonifica Bacchiglione</v>
      </c>
      <c r="I377" t="str">
        <f>"92223390284"</f>
        <v>92223390284</v>
      </c>
      <c r="J377" t="str">
        <f>"23-AFFIDAMENTO DIRETTO"</f>
        <v>23-AFFIDAMENTO DIRETTO</v>
      </c>
      <c r="K377" t="str">
        <f>"06/12/2021"</f>
        <v>06/12/2021</v>
      </c>
      <c r="L377" t="str">
        <f>"24/12/2021"</f>
        <v>24/12/2021</v>
      </c>
      <c r="M377" t="str">
        <f>""</f>
        <v/>
      </c>
      <c r="N377" t="str">
        <f>"Ri.gom.ma S.R.L. Via Orlando, 47 - 30173 Campalto (VE)"</f>
        <v>Ri.gom.ma S.R.L. Via Orlando, 47 - 30173 Campalto (VE)</v>
      </c>
      <c r="O377" t="str">
        <f>"Ri.gom.ma S.R.L. Via Orlando, 47 - 30173 Campalto (VE)"</f>
        <v>Ri.gom.ma S.R.L. Via Orlando, 47 - 30173 Campalto (VE)</v>
      </c>
      <c r="P377" t="s">
        <v>295</v>
      </c>
      <c r="Q377" t="str">
        <f>""</f>
        <v/>
      </c>
      <c r="R377" t="str">
        <f>""</f>
        <v/>
      </c>
      <c r="S377" t="str">
        <f>""</f>
        <v/>
      </c>
      <c r="T377" t="str">
        <f>"https://portaletrasparenza.consorziobacchiglione.it/dettagli/attodigara/7341/sostituzione-cerchio-in-ferro-e-pneumatico-del-mezzo-targato-ew924ed.html"</f>
        <v>https://portaletrasparenza.consorziobacchiglione.it/dettagli/attodigara/7341/sostituzione-cerchio-in-ferro-e-pneumatico-del-mezzo-targato-ew924ed.html</v>
      </c>
      <c r="U377" t="str">
        <f>"https://portaletrasparenza.consorziobacchiglione.it/download/attodigara/7341/63ac45f7d02c9.PDF"</f>
        <v>https://portaletrasparenza.consorziobacchiglione.it/download/attodigara/7341/63ac45f7d02c9.PDF</v>
      </c>
      <c r="V3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78" spans="1:22" x14ac:dyDescent="0.3">
      <c r="A378" t="str">
        <f>"Affidamento"</f>
        <v>Affidamento</v>
      </c>
      <c r="B378" t="str">
        <f>"Sostituzione blocco chiave e batteria del radiocomando Imet presso mezzo targato: CT189YR"</f>
        <v>Sostituzione blocco chiave e batteria del radiocomando Imet presso mezzo targato: CT189YR</v>
      </c>
      <c r="C378" t="str">
        <f>"ZBD344454F"</f>
        <v>ZBD344454F</v>
      </c>
      <c r="D378" t="str">
        <f>"07/12/2021"</f>
        <v>07/12/2021</v>
      </c>
      <c r="E378" t="str">
        <f>""</f>
        <v/>
      </c>
      <c r="F378" t="str">
        <f>""</f>
        <v/>
      </c>
      <c r="G378" t="str">
        <f>"234.50"</f>
        <v>234.50</v>
      </c>
      <c r="H378" t="str">
        <f>"Consorzio di bonifica Bacchiglione"</f>
        <v>Consorzio di bonifica Bacchiglione</v>
      </c>
      <c r="I378" t="str">
        <f>"92223390284"</f>
        <v>92223390284</v>
      </c>
      <c r="J378" t="str">
        <f>"23-AFFIDAMENTO DIRETTO"</f>
        <v>23-AFFIDAMENTO DIRETTO</v>
      </c>
      <c r="K378" t="str">
        <f>"06/12/2021"</f>
        <v>06/12/2021</v>
      </c>
      <c r="L378" t="str">
        <f>"17/12/2021"</f>
        <v>17/12/2021</v>
      </c>
      <c r="M378" t="str">
        <f>""</f>
        <v/>
      </c>
      <c r="N378" t="str">
        <f>"Moressa s.r.l. Via Cuccara 2 35020 Due Carrare PD"</f>
        <v>Moressa s.r.l. Via Cuccara 2 35020 Due Carrare PD</v>
      </c>
      <c r="O378" t="str">
        <f>"Moressa s.r.l. Via Cuccara 2 35020 Due Carrare PD"</f>
        <v>Moressa s.r.l. Via Cuccara 2 35020 Due Carrare PD</v>
      </c>
      <c r="P378" t="s">
        <v>298</v>
      </c>
      <c r="Q378" t="str">
        <f>""</f>
        <v/>
      </c>
      <c r="R378" t="str">
        <f>""</f>
        <v/>
      </c>
      <c r="S378" t="str">
        <f>""</f>
        <v/>
      </c>
      <c r="T378" t="str">
        <f>"https://portaletrasparenza.consorziobacchiglione.it/dettagli/attodigara/7339/sostituzione-blocco-chiave-e-batteria-del-radiocomando-imet-presso-mezzo-targato-ct189yr.html"</f>
        <v>https://portaletrasparenza.consorziobacchiglione.it/dettagli/attodigara/7339/sostituzione-blocco-chiave-e-batteria-del-radiocomando-imet-presso-mezzo-targato-ct189yr.html</v>
      </c>
      <c r="U378" t="str">
        <f>"https://portaletrasparenza.consorziobacchiglione.it/download/attodigara/7339/63ac45f79716b.PDF"</f>
        <v>https://portaletrasparenza.consorziobacchiglione.it/download/attodigara/7339/63ac45f79716b.PDF</v>
      </c>
      <c r="V37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79" spans="1:22" x14ac:dyDescent="0.3">
      <c r="A379" t="str">
        <f>"Affidamento"</f>
        <v>Affidamento</v>
      </c>
      <c r="B379" t="str">
        <f>"Intervento di disalimentazione connessione MT utenza idrovora Santa Margherita, POD IT001E0005262, per lavori di manutenzione cabina MT."</f>
        <v>Intervento di disalimentazione connessione MT utenza idrovora Santa Margherita, POD IT001E0005262, per lavori di manutenzione cabina MT.</v>
      </c>
      <c r="C379" t="str">
        <f>"ZDE3445511"</f>
        <v>ZDE3445511</v>
      </c>
      <c r="D379" t="str">
        <f>"07/12/2021"</f>
        <v>07/12/2021</v>
      </c>
      <c r="E379" t="str">
        <f>""</f>
        <v/>
      </c>
      <c r="F379" t="str">
        <f>""</f>
        <v/>
      </c>
      <c r="G379" t="str">
        <f>"363.00"</f>
        <v>363.00</v>
      </c>
      <c r="H379" t="str">
        <f>"Consorzio di bonifica Bacchiglione"</f>
        <v>Consorzio di bonifica Bacchiglione</v>
      </c>
      <c r="I379" t="str">
        <f>"92223390284"</f>
        <v>92223390284</v>
      </c>
      <c r="J379" t="str">
        <f>"23-AFFIDAMENTO DIRETTO"</f>
        <v>23-AFFIDAMENTO DIRETTO</v>
      </c>
      <c r="K379" t="str">
        <f>"06/12/2021"</f>
        <v>06/12/2021</v>
      </c>
      <c r="L379" t="str">
        <f>"10/02/2022"</f>
        <v>10/02/2022</v>
      </c>
      <c r="M379" t="str">
        <f>""</f>
        <v/>
      </c>
      <c r="N379" t="str">
        <f>"e-distribuzione S.p.A. Via Ombrone, 2 - 00198 Roma"</f>
        <v>e-distribuzione S.p.A. Via Ombrone, 2 - 00198 Roma</v>
      </c>
      <c r="O379" t="str">
        <f>"e-distribuzione S.p.A. Via Ombrone, 2 - 00198 Roma"</f>
        <v>e-distribuzione S.p.A. Via Ombrone, 2 - 00198 Roma</v>
      </c>
      <c r="P379" t="str">
        <f>"ZDE3445511: [363.00€ ]"</f>
        <v>ZDE3445511: [363.00€ ]</v>
      </c>
      <c r="Q379" t="str">
        <f>""</f>
        <v/>
      </c>
      <c r="R379" t="str">
        <f>""</f>
        <v/>
      </c>
      <c r="S379" t="str">
        <f>""</f>
        <v/>
      </c>
      <c r="T379" t="str">
        <f>"https://portaletrasparenza.consorziobacchiglione.it/dettagli/attodigara/7343/intervento-di-disalimentazione-connessione-mt-utenza-idrovora-santa-margherita-pod-it001e0005262-per-lavori-di-manutenzione-cabina-mt.html"</f>
        <v>https://portaletrasparenza.consorziobacchiglione.it/dettagli/attodigara/7343/intervento-di-disalimentazione-connessione-mt-utenza-idrovora-santa-margherita-pod-it001e0005262-per-lavori-di-manutenzione-cabina-mt.html</v>
      </c>
      <c r="U379" t="str">
        <f>"https://portaletrasparenza.consorziobacchiglione.it/download/attodigara/7343/63ac45f84e3d4.PDF"</f>
        <v>https://portaletrasparenza.consorziobacchiglione.it/download/attodigara/7343/63ac45f84e3d4.PDF</v>
      </c>
      <c r="V3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80" spans="1:22" x14ac:dyDescent="0.3">
      <c r="A380" t="str">
        <f>"Affidamento"</f>
        <v>Affidamento</v>
      </c>
      <c r="B380" t="str">
        <f>"Revisione giunto rotazione idraulico del mezzo targato: AKA712"</f>
        <v>Revisione giunto rotazione idraulico del mezzo targato: AKA712</v>
      </c>
      <c r="C380" t="str">
        <f>"Z873444D4E"</f>
        <v>Z873444D4E</v>
      </c>
      <c r="D380" t="str">
        <f>"07/12/2021"</f>
        <v>07/12/2021</v>
      </c>
      <c r="E380" t="str">
        <f>""</f>
        <v/>
      </c>
      <c r="F380" t="str">
        <f>""</f>
        <v/>
      </c>
      <c r="G380" t="str">
        <f>"2323.00"</f>
        <v>2323.00</v>
      </c>
      <c r="H380" t="str">
        <f>"Consorzio di bonifica Bacchiglione"</f>
        <v>Consorzio di bonifica Bacchiglione</v>
      </c>
      <c r="I380" t="str">
        <f>"92223390284"</f>
        <v>92223390284</v>
      </c>
      <c r="J380" t="str">
        <f>"23-AFFIDAMENTO DIRETTO"</f>
        <v>23-AFFIDAMENTO DIRETTO</v>
      </c>
      <c r="K380" t="str">
        <f>"06/12/2021"</f>
        <v>06/12/2021</v>
      </c>
      <c r="L380" t="str">
        <f>"11/01/2022"</f>
        <v>11/01/2022</v>
      </c>
      <c r="M380" t="str">
        <f>""</f>
        <v/>
      </c>
      <c r="N380" t="str">
        <f>"Adriatica Commerciale Macchine s.r.l. Via dell'Artigianato 5 35020 Due Carrare PD"</f>
        <v>Adriatica Commerciale Macchine s.r.l. Via dell'Artigianato 5 35020 Due Carrare PD</v>
      </c>
      <c r="O380" t="str">
        <f>"Adriatica Commerciale Macchine s.r.l. Via dell'Artigianato 5 35020 Due Carrare PD"</f>
        <v>Adriatica Commerciale Macchine s.r.l. Via dell'Artigianato 5 35020 Due Carrare PD</v>
      </c>
      <c r="P380" t="str">
        <f>"Z873444D4E: [2323.00€ ]"</f>
        <v>Z873444D4E: [2323.00€ ]</v>
      </c>
      <c r="Q380" t="str">
        <f>""</f>
        <v/>
      </c>
      <c r="R380" t="str">
        <f>""</f>
        <v/>
      </c>
      <c r="S380" t="str">
        <f>""</f>
        <v/>
      </c>
      <c r="T380" t="str">
        <f>"https://portaletrasparenza.consorziobacchiglione.it/dettagli/attodigara/7342/revisione-giunto-rotazione-idraulico-del-mezzo-targato-aka712.html"</f>
        <v>https://portaletrasparenza.consorziobacchiglione.it/dettagli/attodigara/7342/revisione-giunto-rotazione-idraulico-del-mezzo-targato-aka712.html</v>
      </c>
      <c r="U380" t="str">
        <f>"https://portaletrasparenza.consorziobacchiglione.it/download/attodigara/7342/63ac45f815484.PDF"</f>
        <v>https://portaletrasparenza.consorziobacchiglione.it/download/attodigara/7342/63ac45f815484.PDF</v>
      </c>
      <c r="V38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81" spans="1:22" x14ac:dyDescent="0.3">
      <c r="A381" t="str">
        <f>"Affidamento"</f>
        <v>Affidamento</v>
      </c>
      <c r="B381" t="str">
        <f>"Sostituzione semiasse DX e SX , albero di trasmissione e kit guarnizione iniettori del mezzo targato: EW924ED"</f>
        <v>Sostituzione semiasse DX e SX , albero di trasmissione e kit guarnizione iniettori del mezzo targato: EW924ED</v>
      </c>
      <c r="C381" t="str">
        <f>"Z9A344489F"</f>
        <v>Z9A344489F</v>
      </c>
      <c r="D381" t="str">
        <f>"07/12/2021"</f>
        <v>07/12/2021</v>
      </c>
      <c r="E381" t="str">
        <f>""</f>
        <v/>
      </c>
      <c r="F381" t="str">
        <f>""</f>
        <v/>
      </c>
      <c r="G381" t="str">
        <f>"1420.00"</f>
        <v>1420.00</v>
      </c>
      <c r="H381" t="str">
        <f>"Consorzio di bonifica Bacchiglione"</f>
        <v>Consorzio di bonifica Bacchiglione</v>
      </c>
      <c r="I381" t="str">
        <f>"92223390284"</f>
        <v>92223390284</v>
      </c>
      <c r="J381" t="str">
        <f>"23-AFFIDAMENTO DIRETTO"</f>
        <v>23-AFFIDAMENTO DIRETTO</v>
      </c>
      <c r="K381" t="str">
        <f>"06/12/2021"</f>
        <v>06/12/2021</v>
      </c>
      <c r="L381" t="str">
        <f>"11/12/2021"</f>
        <v>11/12/2021</v>
      </c>
      <c r="M381" t="str">
        <f>""</f>
        <v/>
      </c>
      <c r="N381" t="str">
        <f>"Autoservice sas via Brentella 4 35020 Codevigo PD"</f>
        <v>Autoservice sas via Brentella 4 35020 Codevigo PD</v>
      </c>
      <c r="O381" t="str">
        <f>"Autoservice sas via Brentella 4 35020 Codevigo PD"</f>
        <v>Autoservice sas via Brentella 4 35020 Codevigo PD</v>
      </c>
      <c r="P381" t="str">
        <f>"Z9A344489F: [0.00€ ]"</f>
        <v>Z9A344489F: [0.00€ ]</v>
      </c>
      <c r="Q381" t="str">
        <f>""</f>
        <v/>
      </c>
      <c r="R381" t="str">
        <f>""</f>
        <v/>
      </c>
      <c r="S381" t="str">
        <f>""</f>
        <v/>
      </c>
      <c r="T381" t="str">
        <f>"https://portaletrasparenza.consorziobacchiglione.it/dettagli/attodigara/7340/sostituzione-semiasse-dx-e-sx-albero-di-trasmissione-e-kit-guarnizione-iniettori-del-mezzo-targato-ew924ed.html"</f>
        <v>https://portaletrasparenza.consorziobacchiglione.it/dettagli/attodigara/7340/sostituzione-semiasse-dx-e-sx-albero-di-trasmissione-e-kit-guarnizione-iniettori-del-mezzo-targato-ew924ed.html</v>
      </c>
      <c r="U381" t="str">
        <f>"https://portaletrasparenza.consorziobacchiglione.it/download/attodigara/7340/62a210e9a0551.PDF"</f>
        <v>https://portaletrasparenza.consorziobacchiglione.it/download/attodigara/7340/62a210e9a0551.PDF</v>
      </c>
      <c r="V381">
        <f>(SUBSTITUTE(Tabella1[[#This Row],[Importo di aggiudicazione]],".",","))-(SUBSTITUTE(  SUBSTITUTE(          SUBSTITUTE(Tabella1[[#This Row],[Dettaglio somme liquidate]],Tabella1[[#This Row],[CIG]]&amp;": [",""),"€ ]",""),".",","))</f>
        <v>1420</v>
      </c>
    </row>
    <row r="382" spans="1:22" x14ac:dyDescent="0.3">
      <c r="A382" t="str">
        <f>"Affidamento"</f>
        <v>Affidamento</v>
      </c>
      <c r="B382" t="str">
        <f>"Fornitura materiale vario per l'anno 2021 presso Bacino Sesta Presa"</f>
        <v>Fornitura materiale vario per l'anno 2021 presso Bacino Sesta Presa</v>
      </c>
      <c r="C382" t="str">
        <f>"Z023019ECB"</f>
        <v>Z023019ECB</v>
      </c>
      <c r="D382" t="str">
        <f>"07/01/2021"</f>
        <v>07/01/2021</v>
      </c>
      <c r="E382" t="str">
        <f>""</f>
        <v/>
      </c>
      <c r="F382" t="str">
        <f>""</f>
        <v/>
      </c>
      <c r="G382" t="str">
        <f>"35000.00"</f>
        <v>35000.00</v>
      </c>
      <c r="H382" t="str">
        <f>"Consorzio di bonifica Bacchiglione"</f>
        <v>Consorzio di bonifica Bacchiglione</v>
      </c>
      <c r="I382" t="str">
        <f>"92223390284"</f>
        <v>92223390284</v>
      </c>
      <c r="J382" t="str">
        <f>"23-AFFIDAMENTO DIRETTO"</f>
        <v>23-AFFIDAMENTO DIRETTO</v>
      </c>
      <c r="K382" t="str">
        <f>"07/01/2021"</f>
        <v>07/01/2021</v>
      </c>
      <c r="L382" t="str">
        <f>"31/07/2021"</f>
        <v>31/07/2021</v>
      </c>
      <c r="M382" t="str">
        <f>""</f>
        <v/>
      </c>
      <c r="N382" t="str">
        <f>"Arcolin Edilizia S.a.s di Arcolin Andrea , Baretta Maria E C. Via Valletta 4 a-b - 30010 Cantarana di Cona VE"</f>
        <v>Arcolin Edilizia S.a.s di Arcolin Andrea , Baretta Maria E C. Via Valletta 4 a-b - 30010 Cantarana di Cona VE</v>
      </c>
      <c r="O382" t="str">
        <f>"Arcolin Edilizia S.a.s di Arcolin Andrea , Baretta Maria E C. Via Valletta 4 a-b - 30010 Cantarana di Cona VE"</f>
        <v>Arcolin Edilizia S.a.s di Arcolin Andrea , Baretta Maria E C. Via Valletta 4 a-b - 30010 Cantarana di Cona VE</v>
      </c>
      <c r="P382" t="s">
        <v>316</v>
      </c>
      <c r="Q382" t="str">
        <f>""</f>
        <v/>
      </c>
      <c r="R382" t="str">
        <f>""</f>
        <v/>
      </c>
      <c r="S382" t="str">
        <f>""</f>
        <v/>
      </c>
      <c r="T382" t="str">
        <f>"https://portaletrasparenza.consorziobacchiglione.it/dettagli/attodigara/6525/fornitura-materiale-vario-per-l-anno-2021-presso-bacino-sesta-presa.html"</f>
        <v>https://portaletrasparenza.consorziobacchiglione.it/dettagli/attodigara/6525/fornitura-materiale-vario-per-l-anno-2021-presso-bacino-sesta-presa.html</v>
      </c>
      <c r="U382" t="str">
        <f>"https://portaletrasparenza.consorziobacchiglione.it/download/attodigara/6525/63ac45441dc92.PDF"</f>
        <v>https://portaletrasparenza.consorziobacchiglione.it/download/attodigara/6525/63ac45441dc92.PDF</v>
      </c>
      <c r="V3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83" spans="1:22" x14ac:dyDescent="0.3">
      <c r="A383" t="str">
        <f>"Affidamento"</f>
        <v>Affidamento</v>
      </c>
      <c r="B383" t="str">
        <f>"Canone annuale contratto di manutenzione Silver per Sistema di Telecontrollo, come da descrizione al punto 1 incluse fino a n.24 ore di attività di supporto e diagnostica remota"</f>
        <v>Canone annuale contratto di manutenzione Silver per Sistema di Telecontrollo, come da descrizione al punto 1 incluse fino a n.24 ore di attività di supporto e diagnostica remota</v>
      </c>
      <c r="C383" t="str">
        <f>"Z313017A70"</f>
        <v>Z313017A70</v>
      </c>
      <c r="D383" t="str">
        <f>"07/01/2021"</f>
        <v>07/01/2021</v>
      </c>
      <c r="E383" t="str">
        <f>""</f>
        <v/>
      </c>
      <c r="F383" t="str">
        <f>""</f>
        <v/>
      </c>
      <c r="G383" t="str">
        <f>"4500.00"</f>
        <v>4500.00</v>
      </c>
      <c r="H383" t="str">
        <f>"Consorzio di bonifica Bacchiglione"</f>
        <v>Consorzio di bonifica Bacchiglione</v>
      </c>
      <c r="I383" t="str">
        <f>"92223390284"</f>
        <v>92223390284</v>
      </c>
      <c r="J383" t="str">
        <f>"23-AFFIDAMENTO DIRETTO"</f>
        <v>23-AFFIDAMENTO DIRETTO</v>
      </c>
      <c r="K383" t="str">
        <f>"07/01/2021"</f>
        <v>07/01/2021</v>
      </c>
      <c r="L383" t="str">
        <f>"20/01/2021"</f>
        <v>20/01/2021</v>
      </c>
      <c r="M383" t="str">
        <f>""</f>
        <v/>
      </c>
      <c r="N383" t="str">
        <f>"Omnicon Srl Via Petrarca 14a 20843 Verano Brianza MB"</f>
        <v>Omnicon Srl Via Petrarca 14a 20843 Verano Brianza MB</v>
      </c>
      <c r="O383" t="str">
        <f>"Omnicon Srl Via Petrarca 14a 20843 Verano Brianza MB"</f>
        <v>Omnicon Srl Via Petrarca 14a 20843 Verano Brianza MB</v>
      </c>
      <c r="P383" t="str">
        <f>"Z313017A70: [4500.00€ ]"</f>
        <v>Z313017A70: [4500.00€ ]</v>
      </c>
      <c r="Q383" t="str">
        <f>""</f>
        <v/>
      </c>
      <c r="R383" t="str">
        <f>""</f>
        <v/>
      </c>
      <c r="S383" t="str">
        <f>""</f>
        <v/>
      </c>
      <c r="T383" t="s">
        <v>124</v>
      </c>
      <c r="U383" t="str">
        <f>"https://portaletrasparenza.consorziobacchiglione.it/download/attodigara/6524/63ac4543d9c1b.PDF"</f>
        <v>https://portaletrasparenza.consorziobacchiglione.it/download/attodigara/6524/63ac4543d9c1b.PDF</v>
      </c>
      <c r="V38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84" spans="1:22" x14ac:dyDescent="0.3">
      <c r="A384" t="str">
        <f>"Affidamento"</f>
        <v>Affidamento</v>
      </c>
      <c r="B384" t="str">
        <f>"ASSISTENZA GRU AL COLLAUDO CON ECO CERTIFICAZIONE DEL MEZZO TARGATO FT040WG"</f>
        <v>ASSISTENZA GRU AL COLLAUDO CON ECO CERTIFICAZIONE DEL MEZZO TARGATO FT040WG</v>
      </c>
      <c r="C384" t="str">
        <f>"ZF43019486"</f>
        <v>ZF43019486</v>
      </c>
      <c r="D384" t="str">
        <f>"07/01/2021"</f>
        <v>07/01/2021</v>
      </c>
      <c r="E384" t="str">
        <f>""</f>
        <v/>
      </c>
      <c r="F384" t="str">
        <f>""</f>
        <v/>
      </c>
      <c r="G384" t="str">
        <f>"250.00"</f>
        <v>250.00</v>
      </c>
      <c r="H384" t="str">
        <f>"CONSORZIO DI BONIFICA BACCHIGLIONE"</f>
        <v>CONSORZIO DI BONIFICA BACCHIGLIONE</v>
      </c>
      <c r="I384" t="str">
        <f>"92223390284"</f>
        <v>92223390284</v>
      </c>
      <c r="J384" t="str">
        <f>"23-AFFIDAMENTO DIRETTO"</f>
        <v>23-AFFIDAMENTO DIRETTO</v>
      </c>
      <c r="K384" t="str">
        <f>"07/01/2021"</f>
        <v>07/01/2021</v>
      </c>
      <c r="L384" t="str">
        <f>"31/12/2021"</f>
        <v>31/12/2021</v>
      </c>
      <c r="M384" t="str">
        <f>""</f>
        <v/>
      </c>
      <c r="N384" t="str">
        <f>"MORESSA SRL"</f>
        <v>MORESSA SRL</v>
      </c>
      <c r="O384" t="str">
        <f>"MORESSA SRL"</f>
        <v>MORESSA SRL</v>
      </c>
      <c r="P384" t="str">
        <f>"ZF43019486: [0.00€ ]"</f>
        <v>ZF43019486: [0.00€ ]</v>
      </c>
      <c r="Q384" t="str">
        <f>""</f>
        <v/>
      </c>
      <c r="R384" t="str">
        <f>""</f>
        <v/>
      </c>
      <c r="S384" t="str">
        <f>""</f>
        <v/>
      </c>
      <c r="T384" t="str">
        <f>"https://portaletrasparenza.consorziobacchiglione.it/dettagli/attodigara/7386/assistenza-gru-al-collaudo-con-eco-certificazione-del-mezzo-targato-ft040wg.html"</f>
        <v>https://portaletrasparenza.consorziobacchiglione.it/dettagli/attodigara/7386/assistenza-gru-al-collaudo-con-eco-certificazione-del-mezzo-targato-ft040wg.html</v>
      </c>
      <c r="U384" t="str">
        <f>"https://portaletrasparenza.consorziobacchiglione.it/download/attodigara/7386/62a2094e5dde7.PDF"</f>
        <v>https://portaletrasparenza.consorziobacchiglione.it/download/attodigara/7386/62a2094e5dde7.PDF</v>
      </c>
      <c r="V384">
        <f>(SUBSTITUTE(Tabella1[[#This Row],[Importo di aggiudicazione]],".",","))-(SUBSTITUTE(  SUBSTITUTE(          SUBSTITUTE(Tabella1[[#This Row],[Dettaglio somme liquidate]],Tabella1[[#This Row],[CIG]]&amp;": [",""),"€ ]",""),".",","))</f>
        <v>250</v>
      </c>
    </row>
    <row r="385" spans="1:22" x14ac:dyDescent="0.3">
      <c r="A385" t="str">
        <f>"Affidamento"</f>
        <v>Affidamento</v>
      </c>
      <c r="B385" t="str">
        <f>"Noleggio Miniescavatore cingolato 55Q per lavori presso scolo Bottesina"</f>
        <v>Noleggio Miniescavatore cingolato 55Q per lavori presso scolo Bottesina</v>
      </c>
      <c r="C385" t="str">
        <f>"ZD3301AEED"</f>
        <v>ZD3301AEED</v>
      </c>
      <c r="D385" t="str">
        <f>"08/01/2021"</f>
        <v>08/01/2021</v>
      </c>
      <c r="E385" t="str">
        <f>""</f>
        <v/>
      </c>
      <c r="F385" t="str">
        <f>""</f>
        <v/>
      </c>
      <c r="G385" t="str">
        <f>"1480.00"</f>
        <v>1480.00</v>
      </c>
      <c r="H385" t="str">
        <f>"Consorzio di bonifica Bacchiglione"</f>
        <v>Consorzio di bonifica Bacchiglione</v>
      </c>
      <c r="I385" t="str">
        <f>"92223390284"</f>
        <v>92223390284</v>
      </c>
      <c r="J385" t="str">
        <f>"23-AFFIDAMENTO DIRETTO"</f>
        <v>23-AFFIDAMENTO DIRETTO</v>
      </c>
      <c r="K385" t="str">
        <f>"07/01/2021"</f>
        <v>07/01/2021</v>
      </c>
      <c r="L385" t="str">
        <f>"12/01/2021"</f>
        <v>12/01/2021</v>
      </c>
      <c r="M385" t="str">
        <f>""</f>
        <v/>
      </c>
      <c r="N385" t="str">
        <f>"Sorme s.n.c. Via Monache 21 35030 Selvazzano Dentro PD"</f>
        <v>Sorme s.n.c. Via Monache 21 35030 Selvazzano Dentro PD</v>
      </c>
      <c r="O385" t="str">
        <f>"Sorme s.n.c. Via Monache 21 35030 Selvazzano Dentro PD"</f>
        <v>Sorme s.n.c. Via Monache 21 35030 Selvazzano Dentro PD</v>
      </c>
      <c r="P385" t="str">
        <f>"ZD3301AEED: [1480.00€ ]"</f>
        <v>ZD3301AEED: [1480.00€ ]</v>
      </c>
      <c r="Q385" t="str">
        <f>""</f>
        <v/>
      </c>
      <c r="R385" t="str">
        <f>""</f>
        <v/>
      </c>
      <c r="S385" t="str">
        <f>""</f>
        <v/>
      </c>
      <c r="T385" t="str">
        <f>"https://portaletrasparenza.consorziobacchiglione.it/dettagli/attodigara/6530/noleggio-miniescavatore-cingolato-55q-per-lavori-presso-scolo-bottesina.html"</f>
        <v>https://portaletrasparenza.consorziobacchiglione.it/dettagli/attodigara/6530/noleggio-miniescavatore-cingolato-55q-per-lavori-presso-scolo-bottesina.html</v>
      </c>
      <c r="U385" t="str">
        <f>"https://portaletrasparenza.consorziobacchiglione.it/download/attodigara/6530/63ac454542e9b.PDF"</f>
        <v>https://portaletrasparenza.consorziobacchiglione.it/download/attodigara/6530/63ac454542e9b.PDF</v>
      </c>
      <c r="V3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86" spans="1:22" x14ac:dyDescent="0.3">
      <c r="A386" t="str">
        <f>"Affidamento"</f>
        <v>Affidamento</v>
      </c>
      <c r="B386" t="str">
        <f>"Manutenzione e riparazione Avvitatore con percussione a batteria modello Hitachi DU18DSDL presso C.O. S.Margherita"</f>
        <v>Manutenzione e riparazione Avvitatore con percussione a batteria modello Hitachi DU18DSDL presso C.O. S.Margherita</v>
      </c>
      <c r="C386" t="str">
        <f>"Z44301ABAE"</f>
        <v>Z44301ABAE</v>
      </c>
      <c r="D386" t="str">
        <f>"08/01/2021"</f>
        <v>08/01/2021</v>
      </c>
      <c r="E386" t="str">
        <f>""</f>
        <v/>
      </c>
      <c r="F386" t="str">
        <f>""</f>
        <v/>
      </c>
      <c r="G386" t="str">
        <f>"116.00"</f>
        <v>116.00</v>
      </c>
      <c r="H386" t="str">
        <f>"Consorzio di bonifica Bacchiglione"</f>
        <v>Consorzio di bonifica Bacchiglione</v>
      </c>
      <c r="I386" t="str">
        <f>"92223390284"</f>
        <v>92223390284</v>
      </c>
      <c r="J386" t="str">
        <f>"23-AFFIDAMENTO DIRETTO"</f>
        <v>23-AFFIDAMENTO DIRETTO</v>
      </c>
      <c r="K386" t="str">
        <f>"07/01/2021"</f>
        <v>07/01/2021</v>
      </c>
      <c r="L386" t="str">
        <f>"30/01/2021"</f>
        <v>30/01/2021</v>
      </c>
      <c r="M386" t="str">
        <f>""</f>
        <v/>
      </c>
      <c r="N386" t="str">
        <f>"Scarpa Sergio Elettromeccanica S.n.c. di Scarpa Paola E C. Via A. Vivaldi 7 35028 Piove di Sacco PD"</f>
        <v>Scarpa Sergio Elettromeccanica S.n.c. di Scarpa Paola E C. Via A. Vivaldi 7 35028 Piove di Sacco PD</v>
      </c>
      <c r="O386" t="str">
        <f>"Scarpa Sergio Elettromeccanica S.n.c. di Scarpa Paola E C. Via A. Vivaldi 7 35028 Piove di Sacco PD"</f>
        <v>Scarpa Sergio Elettromeccanica S.n.c. di Scarpa Paola E C. Via A. Vivaldi 7 35028 Piove di Sacco PD</v>
      </c>
      <c r="P386" t="str">
        <f>"Z44301ABAE: [116.00€ ]"</f>
        <v>Z44301ABAE: [116.00€ ]</v>
      </c>
      <c r="Q386" t="str">
        <f>""</f>
        <v/>
      </c>
      <c r="R386" t="str">
        <f>""</f>
        <v/>
      </c>
      <c r="S386" t="str">
        <f>""</f>
        <v/>
      </c>
      <c r="T386" t="str">
        <f>"https://portaletrasparenza.consorziobacchiglione.it/dettagli/attodigara/6528/manutenzione-e-riparazione-avvitatore-con-percussione-a-batteria-modello-hitachi-du18dsdl-presso-c-o-s-margherita.html"</f>
        <v>https://portaletrasparenza.consorziobacchiglione.it/dettagli/attodigara/6528/manutenzione-e-riparazione-avvitatore-con-percussione-a-batteria-modello-hitachi-du18dsdl-presso-c-o-s-margherita.html</v>
      </c>
      <c r="U386" t="str">
        <f>"https://portaletrasparenza.consorziobacchiglione.it/download/attodigara/6528/63ac45457b493.PDF"</f>
        <v>https://portaletrasparenza.consorziobacchiglione.it/download/attodigara/6528/63ac45457b493.PDF</v>
      </c>
      <c r="V38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87" spans="1:22" x14ac:dyDescent="0.3">
      <c r="A387" t="str">
        <f>"Affidamento"</f>
        <v>Affidamento</v>
      </c>
      <c r="B387" t="str">
        <f>"Fornitura n.8 pneumatici per escavatore targato PDAH521"</f>
        <v>Fornitura n.8 pneumatici per escavatore targato PDAH521</v>
      </c>
      <c r="C387" t="str">
        <f>"Z8C301A889"</f>
        <v>Z8C301A889</v>
      </c>
      <c r="D387" t="str">
        <f>"08/01/2021"</f>
        <v>08/01/2021</v>
      </c>
      <c r="E387" t="str">
        <f>""</f>
        <v/>
      </c>
      <c r="F387" t="str">
        <f>""</f>
        <v/>
      </c>
      <c r="G387" t="str">
        <f>"3406.00"</f>
        <v>3406.00</v>
      </c>
      <c r="H387" t="str">
        <f>"Consorzio di bonifica Bacchiglione"</f>
        <v>Consorzio di bonifica Bacchiglione</v>
      </c>
      <c r="I387" t="str">
        <f>"92223390284"</f>
        <v>92223390284</v>
      </c>
      <c r="J387" t="str">
        <f>"23-AFFIDAMENTO DIRETTO"</f>
        <v>23-AFFIDAMENTO DIRETTO</v>
      </c>
      <c r="K387" t="str">
        <f>"07/01/2021"</f>
        <v>07/01/2021</v>
      </c>
      <c r="L387" t="str">
        <f>"31/01/2021"</f>
        <v>31/01/2021</v>
      </c>
      <c r="M387" t="str">
        <f>""</f>
        <v/>
      </c>
      <c r="N387" t="str">
        <f>"Ri.gom.ma S.R.L. Via Orlando, 47 - 30173 Campalto (VE)"</f>
        <v>Ri.gom.ma S.R.L. Via Orlando, 47 - 30173 Campalto (VE)</v>
      </c>
      <c r="O387" t="str">
        <f>"Ri.gom.ma S.R.L. Via Orlando, 47 - 30173 Campalto (VE)"</f>
        <v>Ri.gom.ma S.R.L. Via Orlando, 47 - 30173 Campalto (VE)</v>
      </c>
      <c r="P387" t="str">
        <f>"Z8C301A889: [3406.00€ ]"</f>
        <v>Z8C301A889: [3406.00€ ]</v>
      </c>
      <c r="Q387" t="str">
        <f>""</f>
        <v/>
      </c>
      <c r="R387" t="str">
        <f>""</f>
        <v/>
      </c>
      <c r="S387" t="str">
        <f>""</f>
        <v/>
      </c>
      <c r="T387" t="str">
        <f>"https://portaletrasparenza.consorziobacchiglione.it/dettagli/attodigara/6527/fornitura-n-8-pneumatici-per-escavatore-targato-pdah521.html"</f>
        <v>https://portaletrasparenza.consorziobacchiglione.it/dettagli/attodigara/6527/fornitura-n-8-pneumatici-per-escavatore-targato-pdah521.html</v>
      </c>
      <c r="U387" t="str">
        <f>"https://portaletrasparenza.consorziobacchiglione.it/download/attodigara/6527/63ac4545b4214.PDF"</f>
        <v>https://portaletrasparenza.consorziobacchiglione.it/download/attodigara/6527/63ac4545b4214.PDF</v>
      </c>
      <c r="V3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88" spans="1:22" x14ac:dyDescent="0.3">
      <c r="A388" t="str">
        <f>"Affidamento"</f>
        <v>Affidamento</v>
      </c>
      <c r="B388" t="str">
        <f>"Sostituzione n.2 pneumatici più bilanciatura e convergenza del mezzo targato: EP107XC"</f>
        <v>Sostituzione n.2 pneumatici più bilanciatura e convergenza del mezzo targato: EP107XC</v>
      </c>
      <c r="C388" t="str">
        <f>"ZAA301A7CC"</f>
        <v>ZAA301A7CC</v>
      </c>
      <c r="D388" t="str">
        <f>"08/01/2021"</f>
        <v>08/01/2021</v>
      </c>
      <c r="E388" t="str">
        <f>""</f>
        <v/>
      </c>
      <c r="F388" t="str">
        <f>""</f>
        <v/>
      </c>
      <c r="G388" t="str">
        <f>"450.10"</f>
        <v>450.10</v>
      </c>
      <c r="H388" t="str">
        <f>"Consorzio di bonifica Bacchiglione"</f>
        <v>Consorzio di bonifica Bacchiglione</v>
      </c>
      <c r="I388" t="str">
        <f>"92223390284"</f>
        <v>92223390284</v>
      </c>
      <c r="J388" t="str">
        <f>"23-AFFIDAMENTO DIRETTO"</f>
        <v>23-AFFIDAMENTO DIRETTO</v>
      </c>
      <c r="K388" t="str">
        <f>"07/01/2021"</f>
        <v>07/01/2021</v>
      </c>
      <c r="L388" t="str">
        <f>"31/01/2021"</f>
        <v>31/01/2021</v>
      </c>
      <c r="M388" t="str">
        <f>""</f>
        <v/>
      </c>
      <c r="N388" t="str">
        <f>"Ri.gom.ma S.R.L. Via Orlando, 47 - 30173 Campalto (VE)"</f>
        <v>Ri.gom.ma S.R.L. Via Orlando, 47 - 30173 Campalto (VE)</v>
      </c>
      <c r="O388" t="str">
        <f>"Ri.gom.ma S.R.L. Via Orlando, 47 - 30173 Campalto (VE)"</f>
        <v>Ri.gom.ma S.R.L. Via Orlando, 47 - 30173 Campalto (VE)</v>
      </c>
      <c r="P388" t="str">
        <f>"ZAA301A7CC: [450.10€ ]"</f>
        <v>ZAA301A7CC: [450.10€ ]</v>
      </c>
      <c r="Q388" t="str">
        <f>""</f>
        <v/>
      </c>
      <c r="R388" t="str">
        <f>""</f>
        <v/>
      </c>
      <c r="S388" t="str">
        <f>""</f>
        <v/>
      </c>
      <c r="T388" t="str">
        <f>"https://portaletrasparenza.consorziobacchiglione.it/dettagli/attodigara/6526/sostituzione-n-2-pneumatici-piu-bilanciatura-e-convergenza-del-mezzo-targato-ep107xc.html"</f>
        <v>https://portaletrasparenza.consorziobacchiglione.it/dettagli/attodigara/6526/sostituzione-n-2-pneumatici-piu-bilanciatura-e-convergenza-del-mezzo-targato-ep107xc.html</v>
      </c>
      <c r="U388" t="str">
        <f>"https://portaletrasparenza.consorziobacchiglione.it/download/attodigara/6526/63ac4545ecaab.PDF"</f>
        <v>https://portaletrasparenza.consorziobacchiglione.it/download/attodigara/6526/63ac4545ecaab.PDF</v>
      </c>
      <c r="V38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89" spans="1:22" x14ac:dyDescent="0.3">
      <c r="A389" t="str">
        <f>"Affidamento"</f>
        <v>Affidamento</v>
      </c>
      <c r="B389" t="str">
        <f>"Noleggio escavatore ZX135US più vibroinfissore per lavori presso scolo Bottesina"</f>
        <v>Noleggio escavatore ZX135US più vibroinfissore per lavori presso scolo Bottesina</v>
      </c>
      <c r="C389" t="str">
        <f>"ZD7301AD10"</f>
        <v>ZD7301AD10</v>
      </c>
      <c r="D389" t="str">
        <f>"12/01/2021"</f>
        <v>12/01/2021</v>
      </c>
      <c r="E389" t="str">
        <f>""</f>
        <v/>
      </c>
      <c r="F389" t="str">
        <f>""</f>
        <v/>
      </c>
      <c r="G389" t="str">
        <f>"15300.00"</f>
        <v>15300.00</v>
      </c>
      <c r="H389" t="str">
        <f>"Consorzio di bonifica Bacchiglione"</f>
        <v>Consorzio di bonifica Bacchiglione</v>
      </c>
      <c r="I389" t="str">
        <f>"92223390284"</f>
        <v>92223390284</v>
      </c>
      <c r="J389" t="str">
        <f>"23-AFFIDAMENTO DIRETTO"</f>
        <v>23-AFFIDAMENTO DIRETTO</v>
      </c>
      <c r="K389" t="str">
        <f>"07/01/2021"</f>
        <v>07/01/2021</v>
      </c>
      <c r="L389" t="str">
        <f>"18/01/2021"</f>
        <v>18/01/2021</v>
      </c>
      <c r="M389" t="str">
        <f>""</f>
        <v/>
      </c>
      <c r="N389" t="str">
        <f>"Sorme s.n.c. Via Monache 21 35030 Selvazzano Dentro PD"</f>
        <v>Sorme s.n.c. Via Monache 21 35030 Selvazzano Dentro PD</v>
      </c>
      <c r="O389" t="str">
        <f>"Sorme s.n.c. Via Monache 21 35030 Selvazzano Dentro PD"</f>
        <v>Sorme s.n.c. Via Monache 21 35030 Selvazzano Dentro PD</v>
      </c>
      <c r="P389" t="str">
        <f>"ZD7301AD10: [15300.00€ ]"</f>
        <v>ZD7301AD10: [15300.00€ ]</v>
      </c>
      <c r="Q389" t="str">
        <f>""</f>
        <v/>
      </c>
      <c r="R389" t="str">
        <f>""</f>
        <v/>
      </c>
      <c r="S389" t="str">
        <f>""</f>
        <v/>
      </c>
      <c r="T389" t="str">
        <f>"https://portaletrasparenza.consorziobacchiglione.it/dettagli/attodigara/6529/noleggio-escavatore-zx135us-piu-vibroinfissore-per-lavori-presso-scolo-bottesina.html"</f>
        <v>https://portaletrasparenza.consorziobacchiglione.it/dettagli/attodigara/6529/noleggio-escavatore-zx135us-piu-vibroinfissore-per-lavori-presso-scolo-bottesina.html</v>
      </c>
      <c r="U389" t="str">
        <f>"https://portaletrasparenza.consorziobacchiglione.it/download/attodigara/6529/63ac4548f2cc9.PDF"</f>
        <v>https://portaletrasparenza.consorziobacchiglione.it/download/attodigara/6529/63ac4548f2cc9.PDF</v>
      </c>
      <c r="V3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90" spans="1:22" x14ac:dyDescent="0.3">
      <c r="A390" t="str">
        <f>"Affidamento"</f>
        <v>Affidamento</v>
      </c>
      <c r="B390" t="str">
        <f>"Sostituzione olio supporti bronzine pompe centrifughe Idrovora Vaso Cavaizze e S.Margherita."</f>
        <v>Sostituzione olio supporti bronzine pompe centrifughe Idrovora Vaso Cavaizze e S.Margherita.</v>
      </c>
      <c r="C390" t="str">
        <f>"Z7518DAA3B"</f>
        <v>Z7518DAA3B</v>
      </c>
      <c r="D390" t="str">
        <f>"04/11/2021"</f>
        <v>04/11/2021</v>
      </c>
      <c r="E390" t="str">
        <f>""</f>
        <v/>
      </c>
      <c r="F390" t="str">
        <f>""</f>
        <v/>
      </c>
      <c r="G390" t="str">
        <f>"306.00"</f>
        <v>306.00</v>
      </c>
      <c r="H390" t="str">
        <f>"Consorzio di bonifica Bacchiglione"</f>
        <v>Consorzio di bonifica Bacchiglione</v>
      </c>
      <c r="I390" t="str">
        <f>"92223390284"</f>
        <v>92223390284</v>
      </c>
      <c r="J390" t="str">
        <f>"23-AFFIDAMENTO DIRETTO"</f>
        <v>23-AFFIDAMENTO DIRETTO</v>
      </c>
      <c r="K390" t="str">
        <f>"07/03/2021"</f>
        <v>07/03/2021</v>
      </c>
      <c r="L390" t="str">
        <f>"14/04/2021"</f>
        <v>14/04/2021</v>
      </c>
      <c r="M390" t="str">
        <f>""</f>
        <v/>
      </c>
      <c r="N390" t="str">
        <f>"Officina Biesse S.n.c. Via Matteotti 24 35020 Arzergrande PD"</f>
        <v>Officina Biesse S.n.c. Via Matteotti 24 35020 Arzergrande PD</v>
      </c>
      <c r="O390" t="str">
        <f>"Officina Biesse S.n.c. Via Matteotti 24 35020 Arzergrande PD"</f>
        <v>Officina Biesse S.n.c. Via Matteotti 24 35020 Arzergrande PD</v>
      </c>
      <c r="P390" t="str">
        <f>"Z7518DAA3B: [306.00€ ]"</f>
        <v>Z7518DAA3B: [306.00€ ]</v>
      </c>
      <c r="Q390" t="str">
        <f>""</f>
        <v/>
      </c>
      <c r="R390" t="str">
        <f>""</f>
        <v/>
      </c>
      <c r="S390" t="str">
        <f>""</f>
        <v/>
      </c>
      <c r="T390" t="str">
        <f>"https://portaletrasparenza.consorziobacchiglione.it/dettagli/attodigara/202/sostituzione-olio-supporti-bronzine-pompe-centrifughe-idrovora-vaso-cavaizze-e-s-margherita.html"</f>
        <v>https://portaletrasparenza.consorziobacchiglione.it/dettagli/attodigara/202/sostituzione-olio-supporti-bronzine-pompe-centrifughe-idrovora-vaso-cavaizze-e-s-margherita.html</v>
      </c>
      <c r="U390" t="str">
        <f>""</f>
        <v/>
      </c>
      <c r="V3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91" spans="1:22" x14ac:dyDescent="0.3">
      <c r="A391" t="str">
        <f>"Affidamento"</f>
        <v>Affidamento</v>
      </c>
      <c r="B391" t="str">
        <f>"Fornitura Grasmalte Betoncino Sprint rapido per Idrovora Cambroso."</f>
        <v>Fornitura Grasmalte Betoncino Sprint rapido per Idrovora Cambroso.</v>
      </c>
      <c r="C391" t="str">
        <f>"Z1718DA86D"</f>
        <v>Z1718DA86D</v>
      </c>
      <c r="D391" t="str">
        <f>"04/11/2021"</f>
        <v>04/11/2021</v>
      </c>
      <c r="E391" t="str">
        <f>""</f>
        <v/>
      </c>
      <c r="F391" t="str">
        <f>""</f>
        <v/>
      </c>
      <c r="G391" t="str">
        <f>"43.20"</f>
        <v>43.20</v>
      </c>
      <c r="H391" t="str">
        <f>"Consorzio di bonifica Bacchiglione"</f>
        <v>Consorzio di bonifica Bacchiglione</v>
      </c>
      <c r="I391" t="str">
        <f>"92223390284"</f>
        <v>92223390284</v>
      </c>
      <c r="J391" t="str">
        <f>"23-AFFIDAMENTO DIRETTO"</f>
        <v>23-AFFIDAMENTO DIRETTO</v>
      </c>
      <c r="K391" t="str">
        <f>"07/03/2021"</f>
        <v>07/03/2021</v>
      </c>
      <c r="L391" t="str">
        <f>"14/04/2021"</f>
        <v>14/04/2021</v>
      </c>
      <c r="M391" t="str">
        <f>""</f>
        <v/>
      </c>
      <c r="N391" t="str">
        <f>"Idronord s.r.l. Via delle Industrie 3C 30036 Santa Maria Di Sala VE"</f>
        <v>Idronord s.r.l. Via delle Industrie 3C 30036 Santa Maria Di Sala VE</v>
      </c>
      <c r="O391" t="str">
        <f>"Idronord s.r.l. Via delle Industrie 3C 30036 Santa Maria Di Sala VE"</f>
        <v>Idronord s.r.l. Via delle Industrie 3C 30036 Santa Maria Di Sala VE</v>
      </c>
      <c r="P391" t="str">
        <f>"Z1718DA86D: [43.20€ ]"</f>
        <v>Z1718DA86D: [43.20€ ]</v>
      </c>
      <c r="Q391" t="str">
        <f>""</f>
        <v/>
      </c>
      <c r="R391" t="str">
        <f>""</f>
        <v/>
      </c>
      <c r="S391" t="str">
        <f>""</f>
        <v/>
      </c>
      <c r="T391" t="str">
        <f>"https://portaletrasparenza.consorziobacchiglione.it/dettagli/attodigara/201/fornitura-grasmalte-betoncino-sprint-rapido-per-idrovora-cambroso.html"</f>
        <v>https://portaletrasparenza.consorziobacchiglione.it/dettagli/attodigara/201/fornitura-grasmalte-betoncino-sprint-rapido-per-idrovora-cambroso.html</v>
      </c>
      <c r="U391" t="str">
        <f>""</f>
        <v/>
      </c>
      <c r="V3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92" spans="1:22" x14ac:dyDescent="0.3">
      <c r="A392" t="str">
        <f>"Affidamento"</f>
        <v>Affidamento</v>
      </c>
      <c r="B392" t="str">
        <f>"Effettuazione del prelievo ed analisi chimiche su campioni di sedimento e terreno."</f>
        <v>Effettuazione del prelievo ed analisi chimiche su campioni di sedimento e terreno.</v>
      </c>
      <c r="C392" t="str">
        <f>"Z55195506D"</f>
        <v>Z55195506D</v>
      </c>
      <c r="D392" t="str">
        <f>"04/11/2021"</f>
        <v>04/11/2021</v>
      </c>
      <c r="E392" t="str">
        <f>""</f>
        <v/>
      </c>
      <c r="F392" t="str">
        <f>""</f>
        <v/>
      </c>
      <c r="G392" t="str">
        <f>"2940.00"</f>
        <v>2940.00</v>
      </c>
      <c r="H392" t="str">
        <f>"Consorzio di bonifica Bacchiglione"</f>
        <v>Consorzio di bonifica Bacchiglione</v>
      </c>
      <c r="I392" t="str">
        <f>"92223390284"</f>
        <v>92223390284</v>
      </c>
      <c r="J392" t="str">
        <f>"23-AFFIDAMENTO DIRETTO"</f>
        <v>23-AFFIDAMENTO DIRETTO</v>
      </c>
      <c r="K392" t="str">
        <f>"07/04/2021"</f>
        <v>07/04/2021</v>
      </c>
      <c r="L392" t="str">
        <f>"01/08/2021"</f>
        <v>01/08/2021</v>
      </c>
      <c r="M392" t="str">
        <f>""</f>
        <v/>
      </c>
      <c r="N392" t="str">
        <f>"Innovazione Chimica s.r.l."</f>
        <v>Innovazione Chimica s.r.l.</v>
      </c>
      <c r="O392" t="str">
        <f>"Innovazione Chimica s.r.l."</f>
        <v>Innovazione Chimica s.r.l.</v>
      </c>
      <c r="P392" t="str">
        <f>"Z55195506D: [2940.00€ ]"</f>
        <v>Z55195506D: [2940.00€ ]</v>
      </c>
      <c r="Q392" t="str">
        <f>""</f>
        <v/>
      </c>
      <c r="R392" t="str">
        <f>""</f>
        <v/>
      </c>
      <c r="S392" t="str">
        <f>""</f>
        <v/>
      </c>
      <c r="T392" t="str">
        <f>"https://portaletrasparenza.consorziobacchiglione.it/dettagli/attodigara/305/effettuazione-del-prelievo-ed-analisi-chimiche-su-campioni-di-sedimento-e-terreno.html"</f>
        <v>https://portaletrasparenza.consorziobacchiglione.it/dettagli/attodigara/305/effettuazione-del-prelievo-ed-analisi-chimiche-su-campioni-di-sedimento-e-terreno.html</v>
      </c>
      <c r="U392" t="str">
        <f>""</f>
        <v/>
      </c>
      <c r="V39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93" spans="1:22" x14ac:dyDescent="0.3">
      <c r="A393" t="str">
        <f>"Affidamento"</f>
        <v>Affidamento</v>
      </c>
      <c r="B393" t="str">
        <f>"Noleggio Dumper cingolato Takeuchi TCR50 per lavori presso scolo Scarpa"</f>
        <v>Noleggio Dumper cingolato Takeuchi TCR50 per lavori presso scolo Scarpa</v>
      </c>
      <c r="C393" t="str">
        <f>"Z62314140E"</f>
        <v>Z62314140E</v>
      </c>
      <c r="D393" t="str">
        <f>"08/04/2021"</f>
        <v>08/04/2021</v>
      </c>
      <c r="E393" t="str">
        <f>""</f>
        <v/>
      </c>
      <c r="F393" t="str">
        <f>""</f>
        <v/>
      </c>
      <c r="G393" t="str">
        <f>"2400.00"</f>
        <v>2400.00</v>
      </c>
      <c r="H393" t="str">
        <f>"Consorzio di bonifica Bacchiglione"</f>
        <v>Consorzio di bonifica Bacchiglione</v>
      </c>
      <c r="I393" t="str">
        <f>"92223390284"</f>
        <v>92223390284</v>
      </c>
      <c r="J393" t="str">
        <f>"23-AFFIDAMENTO DIRETTO"</f>
        <v>23-AFFIDAMENTO DIRETTO</v>
      </c>
      <c r="K393" t="str">
        <f>"07/04/2021"</f>
        <v>07/04/2021</v>
      </c>
      <c r="L393" t="str">
        <f>"12/04/2021"</f>
        <v>12/04/2021</v>
      </c>
      <c r="M393" t="str">
        <f>""</f>
        <v/>
      </c>
      <c r="N393" t="str">
        <f>"Sorme s.n.c. Via Monache 21 35030 Selvazzano Dentro PD"</f>
        <v>Sorme s.n.c. Via Monache 21 35030 Selvazzano Dentro PD</v>
      </c>
      <c r="O393" t="str">
        <f>"Sorme s.n.c. Via Monache 21 35030 Selvazzano Dentro PD"</f>
        <v>Sorme s.n.c. Via Monache 21 35030 Selvazzano Dentro PD</v>
      </c>
      <c r="P393" t="str">
        <f>"Z62314140E: [2400.00€ ]"</f>
        <v>Z62314140E: [2400.00€ ]</v>
      </c>
      <c r="Q393" t="str">
        <f>""</f>
        <v/>
      </c>
      <c r="R393" t="str">
        <f>""</f>
        <v/>
      </c>
      <c r="S393" t="str">
        <f>""</f>
        <v/>
      </c>
      <c r="T393" t="str">
        <f>"https://portaletrasparenza.consorziobacchiglione.it/dettagli/attodigara/6774/noleggio-dumper-cingolato-takeuchi-tcr50-per-lavori-presso-scolo-scarpa.html"</f>
        <v>https://portaletrasparenza.consorziobacchiglione.it/dettagli/attodigara/6774/noleggio-dumper-cingolato-takeuchi-tcr50-per-lavori-presso-scolo-scarpa.html</v>
      </c>
      <c r="U393" t="str">
        <f>"https://portaletrasparenza.consorziobacchiglione.it/download/attodigara/6774/63ac457a1ee74.PDF"</f>
        <v>https://portaletrasparenza.consorziobacchiglione.it/download/attodigara/6774/63ac457a1ee74.PDF</v>
      </c>
      <c r="V3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94" spans="1:22" x14ac:dyDescent="0.3">
      <c r="A394" t="str">
        <f>"Affidamento"</f>
        <v>Affidamento</v>
      </c>
      <c r="B394" t="str">
        <f>"Fornitura nuova testata trinciatrice Hymach Mod.TR 120 TL da applicare su mezzo targato: AKD221"</f>
        <v>Fornitura nuova testata trinciatrice Hymach Mod.TR 120 TL da applicare su mezzo targato: AKD221</v>
      </c>
      <c r="C394" t="str">
        <f>"Z11314070C"</f>
        <v>Z11314070C</v>
      </c>
      <c r="D394" t="str">
        <f>"08/04/2021"</f>
        <v>08/04/2021</v>
      </c>
      <c r="E394" t="str">
        <f>""</f>
        <v/>
      </c>
      <c r="F394" t="str">
        <f>""</f>
        <v/>
      </c>
      <c r="G394" t="str">
        <f>"5880.00"</f>
        <v>5880.00</v>
      </c>
      <c r="H394" t="str">
        <f>"Consorzio di bonifica Bacchiglione"</f>
        <v>Consorzio di bonifica Bacchiglione</v>
      </c>
      <c r="I394" t="str">
        <f>"92223390284"</f>
        <v>92223390284</v>
      </c>
      <c r="J394" t="str">
        <f>"23-AFFIDAMENTO DIRETTO"</f>
        <v>23-AFFIDAMENTO DIRETTO</v>
      </c>
      <c r="K394" t="str">
        <f>"07/04/2021"</f>
        <v>07/04/2021</v>
      </c>
      <c r="L394" t="str">
        <f>"28/07/2021"</f>
        <v>28/07/2021</v>
      </c>
      <c r="M394" t="str">
        <f>""</f>
        <v/>
      </c>
      <c r="N394" t="str">
        <f>"Hymach s.r.l. Viale del Commercio 73 45039 Stienta RO"</f>
        <v>Hymach s.r.l. Viale del Commercio 73 45039 Stienta RO</v>
      </c>
      <c r="O394" t="str">
        <f>"Hymach s.r.l. Viale del Commercio 73 45039 Stienta RO"</f>
        <v>Hymach s.r.l. Viale del Commercio 73 45039 Stienta RO</v>
      </c>
      <c r="P394" t="str">
        <f>"Z11314070C: [5880.00€ ]"</f>
        <v>Z11314070C: [5880.00€ ]</v>
      </c>
      <c r="Q394" t="str">
        <f>""</f>
        <v/>
      </c>
      <c r="R394" t="str">
        <f>""</f>
        <v/>
      </c>
      <c r="S394" t="str">
        <f>""</f>
        <v/>
      </c>
      <c r="T394" t="str">
        <f>"https://portaletrasparenza.consorziobacchiglione.it/dettagli/attodigara/6773/fornitura-nuova-testata-trinciatrice-hymach-mod-tr-120-tl-da-applicare-su-mezzo-targato-akd221.html"</f>
        <v>https://portaletrasparenza.consorziobacchiglione.it/dettagli/attodigara/6773/fornitura-nuova-testata-trinciatrice-hymach-mod-tr-120-tl-da-applicare-su-mezzo-targato-akd221.html</v>
      </c>
      <c r="U394" t="str">
        <f>"https://portaletrasparenza.consorziobacchiglione.it/download/attodigara/6773/63ac4579da1c8.PDF"</f>
        <v>https://portaletrasparenza.consorziobacchiglione.it/download/attodigara/6773/63ac4579da1c8.PDF</v>
      </c>
      <c r="V39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95" spans="1:22" x14ac:dyDescent="0.3">
      <c r="A395" t="str">
        <f>"Affidamento"</f>
        <v>Affidamento</v>
      </c>
      <c r="B395" t="str">
        <f>"Aumento a kW 17,00 della potenza disponibile per le forniture di energia elettrica di cui ai codici POD: IT001E30057805, IT001E30098687, IT001E30478982, IT001E31107079, IT001E31716859, IT001E31853166, IT001E32255489, IT0"</f>
        <v>Aumento a kW 17,00 della potenza disponibile per le forniture di energia elettrica di cui ai codici POD: IT001E30057805, IT001E30098687, IT001E30478982, IT001E31107079, IT001E31716859, IT001E31853166, IT001E32255489, IT0</v>
      </c>
      <c r="C395" t="str">
        <f>"ZC83149198"</f>
        <v>ZC83149198</v>
      </c>
      <c r="D395" t="str">
        <f>"09/04/2021"</f>
        <v>09/04/2021</v>
      </c>
      <c r="E395" t="str">
        <f>""</f>
        <v/>
      </c>
      <c r="F395" t="str">
        <f>""</f>
        <v/>
      </c>
      <c r="G395" t="str">
        <f>"2356.27"</f>
        <v>2356.27</v>
      </c>
      <c r="H395" t="str">
        <f>"Consorzio di bonifica Bacchiglione"</f>
        <v>Consorzio di bonifica Bacchiglione</v>
      </c>
      <c r="I395" t="str">
        <f>"92223390284"</f>
        <v>92223390284</v>
      </c>
      <c r="J395" t="str">
        <f>"23-AFFIDAMENTO DIRETTO"</f>
        <v>23-AFFIDAMENTO DIRETTO</v>
      </c>
      <c r="K395" t="str">
        <f>"07/04/2021"</f>
        <v>07/04/2021</v>
      </c>
      <c r="L395" t="str">
        <f>"03/06/2021"</f>
        <v>03/06/2021</v>
      </c>
      <c r="M395" t="str">
        <f>""</f>
        <v/>
      </c>
      <c r="N395" t="str">
        <f>"NOVA AEG S.p.A. Via Nelson Mandela, 4 - 13100 Vercelli (VC)"</f>
        <v>NOVA AEG S.p.A. Via Nelson Mandela, 4 - 13100 Vercelli (VC)</v>
      </c>
      <c r="O395" t="str">
        <f>"NOVA AEG S.p.A. Via Nelson Mandela, 4 - 13100 Vercelli (VC)"</f>
        <v>NOVA AEG S.p.A. Via Nelson Mandela, 4 - 13100 Vercelli (VC)</v>
      </c>
      <c r="P395" t="str">
        <f>"ZC83149198: [2356.27€ ]"</f>
        <v>ZC83149198: [2356.27€ ]</v>
      </c>
      <c r="Q395" t="str">
        <f>""</f>
        <v/>
      </c>
      <c r="R395" t="str">
        <f>""</f>
        <v/>
      </c>
      <c r="S395" t="str">
        <f>""</f>
        <v/>
      </c>
      <c r="T395" t="s">
        <v>108</v>
      </c>
      <c r="U395" t="str">
        <f>"https://portaletrasparenza.consorziobacchiglione.it/download/attodigara/6775/63ac457bb7a0b.PDF"</f>
        <v>https://portaletrasparenza.consorziobacchiglione.it/download/attodigara/6775/63ac457bb7a0b.PDF</v>
      </c>
      <c r="V39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96" spans="1:22" x14ac:dyDescent="0.3">
      <c r="A396" t="str">
        <f>"Affidamento"</f>
        <v>Affidamento</v>
      </c>
      <c r="B396" t="str">
        <f>"FORNITURA DI TONER PER STAMPANTE UFFICIO CATASTO"</f>
        <v>FORNITURA DI TONER PER STAMPANTE UFFICIO CATASTO</v>
      </c>
      <c r="C396" t="str">
        <f>"Z1819C4C0C"</f>
        <v>Z1819C4C0C</v>
      </c>
      <c r="D396" t="str">
        <f>"04/11/2021"</f>
        <v>04/11/2021</v>
      </c>
      <c r="E396" t="str">
        <f>""</f>
        <v/>
      </c>
      <c r="F396" t="str">
        <f>""</f>
        <v/>
      </c>
      <c r="G396" t="str">
        <f>"492.00"</f>
        <v>492.00</v>
      </c>
      <c r="H396" t="str">
        <f>"Consorzio di bonifica Bacchiglione"</f>
        <v>Consorzio di bonifica Bacchiglione</v>
      </c>
      <c r="I396" t="str">
        <f>"92223390284"</f>
        <v>92223390284</v>
      </c>
      <c r="J396" t="str">
        <f>"23-AFFIDAMENTO DIRETTO"</f>
        <v>23-AFFIDAMENTO DIRETTO</v>
      </c>
      <c r="K396" t="str">
        <f>"07/05/2021"</f>
        <v>07/05/2021</v>
      </c>
      <c r="L396" t="str">
        <f>"11/05/2021"</f>
        <v>11/05/2021</v>
      </c>
      <c r="M396" t="str">
        <f>""</f>
        <v/>
      </c>
      <c r="N396" t="str">
        <f>"TPH ELETTRONICA S.A.S."</f>
        <v>TPH ELETTRONICA S.A.S.</v>
      </c>
      <c r="O396" t="str">
        <f>"TPH ELETTRONICA S.A.S."</f>
        <v>TPH ELETTRONICA S.A.S.</v>
      </c>
      <c r="P396" t="str">
        <f>"Z1819C4C0C: [492.00€ ]"</f>
        <v>Z1819C4C0C: [492.00€ ]</v>
      </c>
      <c r="Q396" t="str">
        <f>""</f>
        <v/>
      </c>
      <c r="R396" t="str">
        <f>""</f>
        <v/>
      </c>
      <c r="S396" t="str">
        <f>""</f>
        <v/>
      </c>
      <c r="T396" t="str">
        <f>"https://portaletrasparenza.consorziobacchiglione.it/dettagli/attodigara/400/fornitura-di-toner-per-stampante-ufficio-catasto.html"</f>
        <v>https://portaletrasparenza.consorziobacchiglione.it/dettagli/attodigara/400/fornitura-di-toner-per-stampante-ufficio-catasto.html</v>
      </c>
      <c r="U396" t="str">
        <f>""</f>
        <v/>
      </c>
      <c r="V39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97" spans="1:22" x14ac:dyDescent="0.3">
      <c r="A397" t="str">
        <f>"Affidamento"</f>
        <v>Affidamento</v>
      </c>
      <c r="B397" t="str">
        <f>"Fornitura ulteriore arredi per uff. Dirigente Area Tecnica Agraria Ambiente e Manutenzione"</f>
        <v>Fornitura ulteriore arredi per uff. Dirigente Area Tecnica Agraria Ambiente e Manutenzione</v>
      </c>
      <c r="C397" t="str">
        <f>"Z64319AB19"</f>
        <v>Z64319AB19</v>
      </c>
      <c r="D397" t="str">
        <f>"07/05/2021"</f>
        <v>07/05/2021</v>
      </c>
      <c r="E397" t="str">
        <f>""</f>
        <v/>
      </c>
      <c r="F397" t="str">
        <f>""</f>
        <v/>
      </c>
      <c r="G397" t="str">
        <f>"990.00"</f>
        <v>990.00</v>
      </c>
      <c r="H397" t="str">
        <f>"Consorzio di bonifica Bacchiglione"</f>
        <v>Consorzio di bonifica Bacchiglione</v>
      </c>
      <c r="I397" t="str">
        <f>"92223390284"</f>
        <v>92223390284</v>
      </c>
      <c r="J397" t="str">
        <f>"23-AFFIDAMENTO DIRETTO"</f>
        <v>23-AFFIDAMENTO DIRETTO</v>
      </c>
      <c r="K397" t="str">
        <f>"07/05/2021"</f>
        <v>07/05/2021</v>
      </c>
      <c r="L397" t="str">
        <f>"28/07/2021"</f>
        <v>28/07/2021</v>
      </c>
      <c r="M397" t="str">
        <f>""</f>
        <v/>
      </c>
      <c r="N397" t="str">
        <f>"Breviglieri S.r.l. C.so del Popolo, 100 - 45100 Rovigo"</f>
        <v>Breviglieri S.r.l. C.so del Popolo, 100 - 45100 Rovigo</v>
      </c>
      <c r="O397" t="str">
        <f>"Breviglieri S.r.l. C.so del Popolo, 100 - 45100 Rovigo"</f>
        <v>Breviglieri S.r.l. C.so del Popolo, 100 - 45100 Rovigo</v>
      </c>
      <c r="P397" t="str">
        <f>"Z64319AB19: [990.00€ ]"</f>
        <v>Z64319AB19: [990.00€ ]</v>
      </c>
      <c r="Q397" t="str">
        <f>""</f>
        <v/>
      </c>
      <c r="R397" t="str">
        <f>""</f>
        <v/>
      </c>
      <c r="S397" t="str">
        <f>""</f>
        <v/>
      </c>
      <c r="T397" t="str">
        <f>"https://portaletrasparenza.consorziobacchiglione.it/dettagli/attodigara/6859/fornitura-ulteriore-arredi-per-uff-dirigente-area-tecnica-agraria-ambiente-e-manutenzione.html"</f>
        <v>https://portaletrasparenza.consorziobacchiglione.it/dettagli/attodigara/6859/fornitura-ulteriore-arredi-per-uff-dirigente-area-tecnica-agraria-ambiente-e-manutenzione.html</v>
      </c>
      <c r="U397" t="str">
        <f>"https://portaletrasparenza.consorziobacchiglione.it/download/attodigara/6859/63ac4589ac2b0.PDF"</f>
        <v>https://portaletrasparenza.consorziobacchiglione.it/download/attodigara/6859/63ac4589ac2b0.PDF</v>
      </c>
      <c r="V3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98" spans="1:22" x14ac:dyDescent="0.3">
      <c r="A398" t="str">
        <f>"Affidamento"</f>
        <v>Affidamento</v>
      </c>
      <c r="B398" t="str">
        <f>"Fornitura materiale vario per l'anno 2021 presso Bacino Sesta Presa"</f>
        <v>Fornitura materiale vario per l'anno 2021 presso Bacino Sesta Presa</v>
      </c>
      <c r="C398" t="str">
        <f>"Z7431A32CB"</f>
        <v>Z7431A32CB</v>
      </c>
      <c r="D398" t="str">
        <f>"10/05/2021"</f>
        <v>10/05/2021</v>
      </c>
      <c r="E398" t="str">
        <f>""</f>
        <v/>
      </c>
      <c r="F398" t="str">
        <f>""</f>
        <v/>
      </c>
      <c r="G398" t="str">
        <f>"30000.00"</f>
        <v>30000.00</v>
      </c>
      <c r="H398" t="str">
        <f>"Consorzio di bonifica Bacchiglione"</f>
        <v>Consorzio di bonifica Bacchiglione</v>
      </c>
      <c r="I398" t="str">
        <f>"92223390284"</f>
        <v>92223390284</v>
      </c>
      <c r="J398" t="str">
        <f>"23-AFFIDAMENTO DIRETTO"</f>
        <v>23-AFFIDAMENTO DIRETTO</v>
      </c>
      <c r="K398" t="str">
        <f>"07/05/2021"</f>
        <v>07/05/2021</v>
      </c>
      <c r="L398" t="str">
        <f>"30/04/2022"</f>
        <v>30/04/2022</v>
      </c>
      <c r="M398" t="str">
        <f>""</f>
        <v/>
      </c>
      <c r="N398" t="str">
        <f>"Arcolin Edilizia S.a.s di Arcolin Andrea , Baretta Maria E C. Via Valletta 4 a-b - 30010 Cantarana di Cona VE"</f>
        <v>Arcolin Edilizia S.a.s di Arcolin Andrea , Baretta Maria E C. Via Valletta 4 a-b - 30010 Cantarana di Cona VE</v>
      </c>
      <c r="O398" t="str">
        <f>"Arcolin Edilizia S.a.s di Arcolin Andrea , Baretta Maria E C. Via Valletta 4 a-b - 30010 Cantarana di Cona VE"</f>
        <v>Arcolin Edilizia S.a.s di Arcolin Andrea , Baretta Maria E C. Via Valletta 4 a-b - 30010 Cantarana di Cona VE</v>
      </c>
      <c r="P398" t="s">
        <v>144</v>
      </c>
      <c r="Q398" t="str">
        <f>""</f>
        <v/>
      </c>
      <c r="R398" t="str">
        <f>""</f>
        <v/>
      </c>
      <c r="S398" t="str">
        <f>""</f>
        <v/>
      </c>
      <c r="T398" t="str">
        <f>"https://portaletrasparenza.consorziobacchiglione.it/dettagli/attodigara/6860/fornitura-materiale-vario-per-l-anno-2021-presso-bacino-sesta-presa.html"</f>
        <v>https://portaletrasparenza.consorziobacchiglione.it/dettagli/attodigara/6860/fornitura-materiale-vario-per-l-anno-2021-presso-bacino-sesta-presa.html</v>
      </c>
      <c r="U398" t="str">
        <f>"https://portaletrasparenza.consorziobacchiglione.it/download/attodigara/6860/63ac4589e4d7f.PDF"</f>
        <v>https://portaletrasparenza.consorziobacchiglione.it/download/attodigara/6860/63ac4589e4d7f.PDF</v>
      </c>
      <c r="V3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399" spans="1:22" x14ac:dyDescent="0.3">
      <c r="A399" t="str">
        <f>"Affidamento"</f>
        <v>Affidamento</v>
      </c>
      <c r="B399" t="str">
        <f>"Incarico professionaqle di service tecnico e di coordinatore della sicurezza in fase di progettazione (CSP) ed esecuzione (CSE)."</f>
        <v>Incarico professionaqle di service tecnico e di coordinatore della sicurezza in fase di progettazione (CSP) ed esecuzione (CSE).</v>
      </c>
      <c r="C399" t="str">
        <f>"ZA11A3308F"</f>
        <v>ZA11A3308F</v>
      </c>
      <c r="D399" t="str">
        <f>"04/11/2021"</f>
        <v>04/11/2021</v>
      </c>
      <c r="E399" t="str">
        <f>""</f>
        <v/>
      </c>
      <c r="F399" t="str">
        <f>""</f>
        <v/>
      </c>
      <c r="G399" t="str">
        <f>"5200.00"</f>
        <v>5200.00</v>
      </c>
      <c r="H399" t="str">
        <f>"Consorzio di bonifica Bacchiglione"</f>
        <v>Consorzio di bonifica Bacchiglione</v>
      </c>
      <c r="I399" t="str">
        <f>"92223390284"</f>
        <v>92223390284</v>
      </c>
      <c r="J399" t="str">
        <f>"23-AFFIDAMENTO DIRETTO"</f>
        <v>23-AFFIDAMENTO DIRETTO</v>
      </c>
      <c r="K399" t="str">
        <f>"07/06/2021"</f>
        <v>07/06/2021</v>
      </c>
      <c r="L399" t="str">
        <f>"06/12/2021"</f>
        <v>06/12/2021</v>
      </c>
      <c r="M399" t="str">
        <f>""</f>
        <v/>
      </c>
      <c r="N399" t="str">
        <f>"MATE Soc.Coop.va"</f>
        <v>MATE Soc.Coop.va</v>
      </c>
      <c r="O399" t="str">
        <f>"MATE Soc.Coop.va"</f>
        <v>MATE Soc.Coop.va</v>
      </c>
      <c r="P399" t="str">
        <f>"ZA11A3308F: [5200.00€ ]"</f>
        <v>ZA11A3308F: [5200.00€ ]</v>
      </c>
      <c r="Q399" t="str">
        <f>""</f>
        <v/>
      </c>
      <c r="R399" t="str">
        <f>""</f>
        <v/>
      </c>
      <c r="S399" t="str">
        <f>""</f>
        <v/>
      </c>
      <c r="T399" t="str">
        <f>"https://portaletrasparenza.consorziobacchiglione.it/dettagli/attodigara/508/incarico-professionaqle-di-service-tecnico-e-di-coordinatore-della-sicurezza-in-fase-di-progettazione-csp-ed-esecuzione-cse.html"</f>
        <v>https://portaletrasparenza.consorziobacchiglione.it/dettagli/attodigara/508/incarico-professionaqle-di-service-tecnico-e-di-coordinatore-della-sicurezza-in-fase-di-progettazione-csp-ed-esecuzione-cse.html</v>
      </c>
      <c r="U399" t="str">
        <f>""</f>
        <v/>
      </c>
      <c r="V3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00" spans="1:22" x14ac:dyDescent="0.3">
      <c r="A400" t="str">
        <f>"Affidamento"</f>
        <v>Affidamento</v>
      </c>
      <c r="B400" t="str">
        <f>"Fornitura n 25 cartelli cantiere su base magnetica formato 65x30 per C.O.S.Margherita."</f>
        <v>Fornitura n 25 cartelli cantiere su base magnetica formato 65x30 per C.O.S.Margherita.</v>
      </c>
      <c r="C400" t="str">
        <f>"Z821A32E16"</f>
        <v>Z821A32E16</v>
      </c>
      <c r="D400" t="str">
        <f>"04/11/2021"</f>
        <v>04/11/2021</v>
      </c>
      <c r="E400" t="str">
        <f>""</f>
        <v/>
      </c>
      <c r="F400" t="str">
        <f>""</f>
        <v/>
      </c>
      <c r="G400" t="str">
        <f>"700.00"</f>
        <v>700.00</v>
      </c>
      <c r="H400" t="str">
        <f>"Consorzio di bonifica Bacchiglione"</f>
        <v>Consorzio di bonifica Bacchiglione</v>
      </c>
      <c r="I400" t="str">
        <f>"92223390284"</f>
        <v>92223390284</v>
      </c>
      <c r="J400" t="str">
        <f>"23-AFFIDAMENTO DIRETTO"</f>
        <v>23-AFFIDAMENTO DIRETTO</v>
      </c>
      <c r="K400" t="str">
        <f>"07/06/2021"</f>
        <v>07/06/2021</v>
      </c>
      <c r="L400" t="str">
        <f>"06/09/2021"</f>
        <v>06/09/2021</v>
      </c>
      <c r="M400" t="str">
        <f>""</f>
        <v/>
      </c>
      <c r="N400" t="str">
        <f>"Arti Grafiche DIEMME Via Stadio 8 Taglio di Po RO"</f>
        <v>Arti Grafiche DIEMME Via Stadio 8 Taglio di Po RO</v>
      </c>
      <c r="O400" t="str">
        <f>"Arti Grafiche DIEMME Via Stadio 8 Taglio di Po RO"</f>
        <v>Arti Grafiche DIEMME Via Stadio 8 Taglio di Po RO</v>
      </c>
      <c r="P400" t="str">
        <f>"Z821A32E16: [700.00€ ]"</f>
        <v>Z821A32E16: [700.00€ ]</v>
      </c>
      <c r="Q400" t="str">
        <f>""</f>
        <v/>
      </c>
      <c r="R400" t="str">
        <f>""</f>
        <v/>
      </c>
      <c r="S400" t="str">
        <f>""</f>
        <v/>
      </c>
      <c r="T400" t="str">
        <f>"https://portaletrasparenza.consorziobacchiglione.it/dettagli/attodigara/507/fornitura-n-25-cartelli-cantiere-su-base-magnetica-formato-65x30-per-c-o-s-margherita.html"</f>
        <v>https://portaletrasparenza.consorziobacchiglione.it/dettagli/attodigara/507/fornitura-n-25-cartelli-cantiere-su-base-magnetica-formato-65x30-per-c-o-s-margherita.html</v>
      </c>
      <c r="U400" t="str">
        <f>""</f>
        <v/>
      </c>
      <c r="V4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01" spans="1:22" x14ac:dyDescent="0.3">
      <c r="A401" t="str">
        <f>"Affidamento"</f>
        <v>Affidamento</v>
      </c>
      <c r="B401" t="str">
        <f>"Fornitura bobine di filo per decespugliatori C.O.S.Margherita."</f>
        <v>Fornitura bobine di filo per decespugliatori C.O.S.Margherita.</v>
      </c>
      <c r="C401" t="str">
        <f>"ZF31A32D2B"</f>
        <v>ZF31A32D2B</v>
      </c>
      <c r="D401" t="str">
        <f>"04/11/2021"</f>
        <v>04/11/2021</v>
      </c>
      <c r="E401" t="str">
        <f>""</f>
        <v/>
      </c>
      <c r="F401" t="str">
        <f>""</f>
        <v/>
      </c>
      <c r="G401" t="str">
        <f>"118.85"</f>
        <v>118.85</v>
      </c>
      <c r="H401" t="str">
        <f>"Consorzio di bonifica Bacchiglione"</f>
        <v>Consorzio di bonifica Bacchiglione</v>
      </c>
      <c r="I401" t="str">
        <f>"92223390284"</f>
        <v>92223390284</v>
      </c>
      <c r="J401" t="str">
        <f>"23-AFFIDAMENTO DIRETTO"</f>
        <v>23-AFFIDAMENTO DIRETTO</v>
      </c>
      <c r="K401" t="str">
        <f>"07/06/2021"</f>
        <v>07/06/2021</v>
      </c>
      <c r="L401" t="str">
        <f>"11/07/2021"</f>
        <v>11/07/2021</v>
      </c>
      <c r="M401" t="str">
        <f>""</f>
        <v/>
      </c>
      <c r="N401" t="str">
        <f>"Frizzarin Riccardo Via Papa Giovanni XXXIII 20 35026 Conselve PD"</f>
        <v>Frizzarin Riccardo Via Papa Giovanni XXXIII 20 35026 Conselve PD</v>
      </c>
      <c r="O401" t="str">
        <f>"Frizzarin Riccardo Via Papa Giovanni XXXIII 20 35026 Conselve PD"</f>
        <v>Frizzarin Riccardo Via Papa Giovanni XXXIII 20 35026 Conselve PD</v>
      </c>
      <c r="P401" t="str">
        <f>"ZF31A32D2B: [118.85€ ]"</f>
        <v>ZF31A32D2B: [118.85€ ]</v>
      </c>
      <c r="Q401" t="str">
        <f>""</f>
        <v/>
      </c>
      <c r="R401" t="str">
        <f>""</f>
        <v/>
      </c>
      <c r="S401" t="str">
        <f>""</f>
        <v/>
      </c>
      <c r="T401" t="str">
        <f>"https://portaletrasparenza.consorziobacchiglione.it/dettagli/attodigara/506/fornitura-bobine-di-filo-per-decespugliatori-c-o-s-margherita.html"</f>
        <v>https://portaletrasparenza.consorziobacchiglione.it/dettagli/attodigara/506/fornitura-bobine-di-filo-per-decespugliatori-c-o-s-margherita.html</v>
      </c>
      <c r="U401" t="str">
        <f>""</f>
        <v/>
      </c>
      <c r="V40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02" spans="1:22" x14ac:dyDescent="0.3">
      <c r="A402" t="str">
        <f>"Affidamento"</f>
        <v>Affidamento</v>
      </c>
      <c r="B402" t="str">
        <f>"Riparazione e manutenzione motosega C.O.S.Margherita."</f>
        <v>Riparazione e manutenzione motosega C.O.S.Margherita.</v>
      </c>
      <c r="C402" t="str">
        <f>"Z001A32C62"</f>
        <v>Z001A32C62</v>
      </c>
      <c r="D402" t="str">
        <f>"04/11/2021"</f>
        <v>04/11/2021</v>
      </c>
      <c r="E402" t="str">
        <f>""</f>
        <v/>
      </c>
      <c r="F402" t="str">
        <f>""</f>
        <v/>
      </c>
      <c r="G402" t="str">
        <f>"219.02"</f>
        <v>219.02</v>
      </c>
      <c r="H402" t="str">
        <f>"Consorzio di bonifica Bacchiglione"</f>
        <v>Consorzio di bonifica Bacchiglione</v>
      </c>
      <c r="I402" t="str">
        <f>"92223390284"</f>
        <v>92223390284</v>
      </c>
      <c r="J402" t="str">
        <f>"23-AFFIDAMENTO DIRETTO"</f>
        <v>23-AFFIDAMENTO DIRETTO</v>
      </c>
      <c r="K402" t="str">
        <f>"07/06/2021"</f>
        <v>07/06/2021</v>
      </c>
      <c r="L402" t="str">
        <f>"11/07/2021"</f>
        <v>11/07/2021</v>
      </c>
      <c r="M402" t="str">
        <f>""</f>
        <v/>
      </c>
      <c r="N402" t="str">
        <f>"Frizzarin Riccardo Via Papa Giovanni XXXIII 20 35026 Conselve PD"</f>
        <v>Frizzarin Riccardo Via Papa Giovanni XXXIII 20 35026 Conselve PD</v>
      </c>
      <c r="O402" t="str">
        <f>"Frizzarin Riccardo Via Papa Giovanni XXXIII 20 35026 Conselve PD"</f>
        <v>Frizzarin Riccardo Via Papa Giovanni XXXIII 20 35026 Conselve PD</v>
      </c>
      <c r="P402" t="str">
        <f>"Z001A32C62: [219.02€ ]"</f>
        <v>Z001A32C62: [219.02€ ]</v>
      </c>
      <c r="Q402" t="str">
        <f>""</f>
        <v/>
      </c>
      <c r="R402" t="str">
        <f>""</f>
        <v/>
      </c>
      <c r="S402" t="str">
        <f>""</f>
        <v/>
      </c>
      <c r="T402" t="str">
        <f>"https://portaletrasparenza.consorziobacchiglione.it/dettagli/attodigara/505/riparazione-e-manutenzione-motosega-c-o-s-margherita.html"</f>
        <v>https://portaletrasparenza.consorziobacchiglione.it/dettagli/attodigara/505/riparazione-e-manutenzione-motosega-c-o-s-margherita.html</v>
      </c>
      <c r="U402" t="str">
        <f>""</f>
        <v/>
      </c>
      <c r="V4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03" spans="1:22" x14ac:dyDescent="0.3">
      <c r="A403" t="str">
        <f>"Affidamento"</f>
        <v>Affidamento</v>
      </c>
      <c r="B403" t="str">
        <f>"Trasporto zavorra per collaudo carriponte Idrovora Bovolenta e S.Margherita."</f>
        <v>Trasporto zavorra per collaudo carriponte Idrovora Bovolenta e S.Margherita.</v>
      </c>
      <c r="C403" t="str">
        <f>"ZAC1A320E5"</f>
        <v>ZAC1A320E5</v>
      </c>
      <c r="D403" t="str">
        <f>"04/11/2021"</f>
        <v>04/11/2021</v>
      </c>
      <c r="E403" t="str">
        <f>""</f>
        <v/>
      </c>
      <c r="F403" t="str">
        <f>""</f>
        <v/>
      </c>
      <c r="G403" t="str">
        <f>"500.00"</f>
        <v>500.00</v>
      </c>
      <c r="H403" t="str">
        <f>"Consorzio di bonifica Bacchiglione"</f>
        <v>Consorzio di bonifica Bacchiglione</v>
      </c>
      <c r="I403" t="str">
        <f>"92223390284"</f>
        <v>92223390284</v>
      </c>
      <c r="J403" t="str">
        <f>"23-AFFIDAMENTO DIRETTO"</f>
        <v>23-AFFIDAMENTO DIRETTO</v>
      </c>
      <c r="K403" t="str">
        <f>"07/06/2021"</f>
        <v>07/06/2021</v>
      </c>
      <c r="L403" t="str">
        <f>"11/07/2021"</f>
        <v>11/07/2021</v>
      </c>
      <c r="M403" t="str">
        <f>""</f>
        <v/>
      </c>
      <c r="N403" t="str">
        <f>"Aggio e Figli Autotrasporti s.r.l. Via Chiusure 47 35020 Maserà di Padova PD"</f>
        <v>Aggio e Figli Autotrasporti s.r.l. Via Chiusure 47 35020 Maserà di Padova PD</v>
      </c>
      <c r="O403" t="str">
        <f>"Aggio e Figli Autotrasporti s.r.l. Via Chiusure 47 35020 Maserà di Padova PD"</f>
        <v>Aggio e Figli Autotrasporti s.r.l. Via Chiusure 47 35020 Maserà di Padova PD</v>
      </c>
      <c r="P403" t="str">
        <f>"ZAC1A320E5: [500.00€ ]"</f>
        <v>ZAC1A320E5: [500.00€ ]</v>
      </c>
      <c r="Q403" t="str">
        <f>""</f>
        <v/>
      </c>
      <c r="R403" t="str">
        <f>""</f>
        <v/>
      </c>
      <c r="S403" t="str">
        <f>""</f>
        <v/>
      </c>
      <c r="T403" t="str">
        <f>"https://portaletrasparenza.consorziobacchiglione.it/dettagli/attodigara/504/trasporto-zavorra-per-collaudo-carriponte-idrovora-bovolenta-e-s-margherita.html"</f>
        <v>https://portaletrasparenza.consorziobacchiglione.it/dettagli/attodigara/504/trasporto-zavorra-per-collaudo-carriponte-idrovora-bovolenta-e-s-margherita.html</v>
      </c>
      <c r="U403" t="str">
        <f>""</f>
        <v/>
      </c>
      <c r="V4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04" spans="1:22" x14ac:dyDescent="0.3">
      <c r="A404" t="str">
        <f>"Affidamento"</f>
        <v>Affidamento</v>
      </c>
      <c r="B404" t="str">
        <f>"Adempimenti in materia di dichiarazioni 2021 per redditi e irap esercizio 2020 e di Anagrafe Tributaria 2021"</f>
        <v>Adempimenti in materia di dichiarazioni 2021 per redditi e irap esercizio 2020 e di Anagrafe Tributaria 2021</v>
      </c>
      <c r="C404" t="str">
        <f>"Z8832029DF"</f>
        <v>Z8832029DF</v>
      </c>
      <c r="D404" t="str">
        <f>"07/06/2021"</f>
        <v>07/06/2021</v>
      </c>
      <c r="E404" t="str">
        <f>""</f>
        <v/>
      </c>
      <c r="F404" t="str">
        <f>""</f>
        <v/>
      </c>
      <c r="G404" t="str">
        <f>"780.00"</f>
        <v>780.00</v>
      </c>
      <c r="H404" t="str">
        <f>"Consorzio di bonifica Bacchiglione"</f>
        <v>Consorzio di bonifica Bacchiglione</v>
      </c>
      <c r="I404" t="str">
        <f>"92223390284"</f>
        <v>92223390284</v>
      </c>
      <c r="J404" t="str">
        <f>"23-AFFIDAMENTO DIRETTO"</f>
        <v>23-AFFIDAMENTO DIRETTO</v>
      </c>
      <c r="K404" t="str">
        <f>"07/06/2021"</f>
        <v>07/06/2021</v>
      </c>
      <c r="L404" t="str">
        <f>"31/12/2021"</f>
        <v>31/12/2021</v>
      </c>
      <c r="M404" t="str">
        <f>""</f>
        <v/>
      </c>
      <c r="N404" t="str">
        <f>"HUNEXT CONSULTING"</f>
        <v>HUNEXT CONSULTING</v>
      </c>
      <c r="O404" t="str">
        <f>"HUNEXT CONSULTING"</f>
        <v>HUNEXT CONSULTING</v>
      </c>
      <c r="P404" t="str">
        <f>"Z8832029DF: [761.28€ ]"</f>
        <v>Z8832029DF: [761.28€ ]</v>
      </c>
      <c r="Q404" t="str">
        <f>""</f>
        <v/>
      </c>
      <c r="R404" t="str">
        <f>""</f>
        <v/>
      </c>
      <c r="S404" t="str">
        <f>""</f>
        <v/>
      </c>
      <c r="T404" t="str">
        <f>"https://portaletrasparenza.consorziobacchiglione.it/dettagli/attodigara/6927/adempimenti-in-materia-di-dichiarazioni-2021-per-redditi-e-irap-esercizio-2020-e-di-anagrafe-tributaria-2021.html"</f>
        <v>https://portaletrasparenza.consorziobacchiglione.it/dettagli/attodigara/6927/adempimenti-in-materia-di-dichiarazioni-2021-per-redditi-e-irap-esercizio-2020-e-di-anagrafe-tributaria-2021.html</v>
      </c>
      <c r="U404" t="str">
        <f>"https://portaletrasparenza.consorziobacchiglione.it/download/attodigara/6927/63ac459619f9f.PDF"</f>
        <v>https://portaletrasparenza.consorziobacchiglione.it/download/attodigara/6927/63ac459619f9f.PDF</v>
      </c>
      <c r="V404">
        <f>(SUBSTITUTE(Tabella1[[#This Row],[Importo di aggiudicazione]],".",","))-(SUBSTITUTE(  SUBSTITUTE(          SUBSTITUTE(Tabella1[[#This Row],[Dettaglio somme liquidate]],Tabella1[[#This Row],[CIG]]&amp;": [",""),"€ ]",""),".",","))</f>
        <v>18.720000000000027</v>
      </c>
    </row>
    <row r="405" spans="1:22" x14ac:dyDescent="0.3">
      <c r="A405" t="str">
        <f>"Affidamento"</f>
        <v>Affidamento</v>
      </c>
      <c r="B405" t="str">
        <f>"Servizio di sostituzione ordinativi elettronici attivazione e secondo semestre 2021."</f>
        <v>Servizio di sostituzione ordinativi elettronici attivazione e secondo semestre 2021.</v>
      </c>
      <c r="C405" t="str">
        <f>"Z313202CE5"</f>
        <v>Z313202CE5</v>
      </c>
      <c r="D405" t="str">
        <f>"07/06/2021"</f>
        <v>07/06/2021</v>
      </c>
      <c r="E405" t="str">
        <f>""</f>
        <v/>
      </c>
      <c r="F405" t="str">
        <f>""</f>
        <v/>
      </c>
      <c r="G405" t="str">
        <f>"1750.00"</f>
        <v>1750.00</v>
      </c>
      <c r="H405" t="str">
        <f>"Consorzio di bonifica Bacchiglione"</f>
        <v>Consorzio di bonifica Bacchiglione</v>
      </c>
      <c r="I405" t="str">
        <f>"92223390284"</f>
        <v>92223390284</v>
      </c>
      <c r="J405" t="str">
        <f>"23-AFFIDAMENTO DIRETTO"</f>
        <v>23-AFFIDAMENTO DIRETTO</v>
      </c>
      <c r="K405" t="str">
        <f>"07/06/2021"</f>
        <v>07/06/2021</v>
      </c>
      <c r="L405" t="str">
        <f>"31/12/2021"</f>
        <v>31/12/2021</v>
      </c>
      <c r="M405" t="str">
        <f>""</f>
        <v/>
      </c>
      <c r="N405" t="str">
        <f>"CAPACITAS S.R.L."</f>
        <v>CAPACITAS S.R.L.</v>
      </c>
      <c r="O405" t="str">
        <f>"CAPACITAS S.R.L."</f>
        <v>CAPACITAS S.R.L.</v>
      </c>
      <c r="P405" t="str">
        <f>"Z313202CE5: [0.00€ ]"</f>
        <v>Z313202CE5: [0.00€ ]</v>
      </c>
      <c r="Q405" t="str">
        <f>""</f>
        <v/>
      </c>
      <c r="R405" t="str">
        <f>""</f>
        <v/>
      </c>
      <c r="S405" t="str">
        <f>""</f>
        <v/>
      </c>
      <c r="T405" t="str">
        <f>"https://portaletrasparenza.consorziobacchiglione.it/dettagli/attodigara/6928/servizio-di-sostituzione-ordinativi-elettronici-attivazione-e-secondo-semestre-2021.html"</f>
        <v>https://portaletrasparenza.consorziobacchiglione.it/dettagli/attodigara/6928/servizio-di-sostituzione-ordinativi-elettronici-attivazione-e-secondo-semestre-2021.html</v>
      </c>
      <c r="U405" t="str">
        <f>"https://portaletrasparenza.consorziobacchiglione.it/download/attodigara/6928/62a20a13dd46d.PDF"</f>
        <v>https://portaletrasparenza.consorziobacchiglione.it/download/attodigara/6928/62a20a13dd46d.PDF</v>
      </c>
      <c r="V405">
        <f>(SUBSTITUTE(Tabella1[[#This Row],[Importo di aggiudicazione]],".",","))-(SUBSTITUTE(  SUBSTITUTE(          SUBSTITUTE(Tabella1[[#This Row],[Dettaglio somme liquidate]],Tabella1[[#This Row],[CIG]]&amp;": [",""),"€ ]",""),".",","))</f>
        <v>1750</v>
      </c>
    </row>
    <row r="406" spans="1:22" x14ac:dyDescent="0.3">
      <c r="A406" t="str">
        <f>"Affidamento"</f>
        <v>Affidamento</v>
      </c>
      <c r="B406" t="str">
        <f>"Riparazione e manutenzione motore elettrico trifase Marelli KW 250 presso Idrovora Baldon"</f>
        <v>Riparazione e manutenzione motore elettrico trifase Marelli KW 250 presso Idrovora Baldon</v>
      </c>
      <c r="C406" t="str">
        <f>"ZD83202FBF"</f>
        <v>ZD83202FBF</v>
      </c>
      <c r="D406" t="str">
        <f>"10/06/2021"</f>
        <v>10/06/2021</v>
      </c>
      <c r="E406" t="str">
        <f>""</f>
        <v/>
      </c>
      <c r="F406" t="str">
        <f>""</f>
        <v/>
      </c>
      <c r="G406" t="str">
        <f>"21950.00"</f>
        <v>21950.00</v>
      </c>
      <c r="H406" t="str">
        <f>"Consorzio di bonifica Bacchiglione"</f>
        <v>Consorzio di bonifica Bacchiglione</v>
      </c>
      <c r="I406" t="str">
        <f>"92223390284"</f>
        <v>92223390284</v>
      </c>
      <c r="J406" t="str">
        <f>"23-AFFIDAMENTO DIRETTO"</f>
        <v>23-AFFIDAMENTO DIRETTO</v>
      </c>
      <c r="K406" t="str">
        <f>"07/06/2021"</f>
        <v>07/06/2021</v>
      </c>
      <c r="L406" t="str">
        <f>"31/08/2021"</f>
        <v>31/08/2021</v>
      </c>
      <c r="M406" t="str">
        <f>""</f>
        <v/>
      </c>
      <c r="N406" t="str">
        <f>"Scarpa Sergio Elettromeccanica S.n.c. di Scarpa Paola E C. Via A. Vivaldi 7 35028 Piove di Sacco PD"</f>
        <v>Scarpa Sergio Elettromeccanica S.n.c. di Scarpa Paola E C. Via A. Vivaldi 7 35028 Piove di Sacco PD</v>
      </c>
      <c r="O406" t="str">
        <f>"Scarpa Sergio Elettromeccanica S.n.c. di Scarpa Paola E C. Via A. Vivaldi 7 35028 Piove di Sacco PD"</f>
        <v>Scarpa Sergio Elettromeccanica S.n.c. di Scarpa Paola E C. Via A. Vivaldi 7 35028 Piove di Sacco PD</v>
      </c>
      <c r="P406" t="str">
        <f>"ZD83202FBF: [21950.00€ ]"</f>
        <v>ZD83202FBF: [21950.00€ ]</v>
      </c>
      <c r="Q406" t="str">
        <f>""</f>
        <v/>
      </c>
      <c r="R406" t="str">
        <f>""</f>
        <v/>
      </c>
      <c r="S406" t="str">
        <f>""</f>
        <v/>
      </c>
      <c r="T406" t="str">
        <f>"https://portaletrasparenza.consorziobacchiglione.it/dettagli/attodigara/6929/riparazione-e-manutenzione-motore-elettrico-trifase-marelli-kw-250-presso-idrovora-baldon.html"</f>
        <v>https://portaletrasparenza.consorziobacchiglione.it/dettagli/attodigara/6929/riparazione-e-manutenzione-motore-elettrico-trifase-marelli-kw-250-presso-idrovora-baldon.html</v>
      </c>
      <c r="U406" t="str">
        <f>"https://portaletrasparenza.consorziobacchiglione.it/download/attodigara/6929/63ac45970aaed.PDF"</f>
        <v>https://portaletrasparenza.consorziobacchiglione.it/download/attodigara/6929/63ac45970aaed.PDF</v>
      </c>
      <c r="V4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07" spans="1:22" x14ac:dyDescent="0.3">
      <c r="A407" t="str">
        <f>"Affidamento"</f>
        <v>Affidamento</v>
      </c>
      <c r="B407" t="str">
        <f>"Fornitura n.12 ripetitore / alimentatore mA/V ingresso e uscita per Impianti vari"</f>
        <v>Fornitura n.12 ripetitore / alimentatore mA/V ingresso e uscita per Impianti vari</v>
      </c>
      <c r="C407" t="str">
        <f>"Z9732034C7"</f>
        <v>Z9732034C7</v>
      </c>
      <c r="D407" t="str">
        <f>"10/06/2021"</f>
        <v>10/06/2021</v>
      </c>
      <c r="E407" t="str">
        <f>""</f>
        <v/>
      </c>
      <c r="F407" t="str">
        <f>""</f>
        <v/>
      </c>
      <c r="G407" t="str">
        <f>"3365.20"</f>
        <v>3365.20</v>
      </c>
      <c r="H407" t="str">
        <f>"Consorzio di bonifica Bacchiglione"</f>
        <v>Consorzio di bonifica Bacchiglione</v>
      </c>
      <c r="I407" t="str">
        <f>"92223390284"</f>
        <v>92223390284</v>
      </c>
      <c r="J407" t="str">
        <f>"23-AFFIDAMENTO DIRETTO"</f>
        <v>23-AFFIDAMENTO DIRETTO</v>
      </c>
      <c r="K407" t="str">
        <f>"07/06/2021"</f>
        <v>07/06/2021</v>
      </c>
      <c r="L407" t="str">
        <f>"18/06/2021"</f>
        <v>18/06/2021</v>
      </c>
      <c r="M407" t="str">
        <f>""</f>
        <v/>
      </c>
      <c r="N407" t="str">
        <f>"PR electronics Via Lodovico Ariosto 19 I 20091 Bresso MI"</f>
        <v>PR electronics Via Lodovico Ariosto 19 I 20091 Bresso MI</v>
      </c>
      <c r="O407" t="str">
        <f>"PR electronics Via Lodovico Ariosto 19 I 20091 Bresso MI"</f>
        <v>PR electronics Via Lodovico Ariosto 19 I 20091 Bresso MI</v>
      </c>
      <c r="P407" t="str">
        <f>"Z9732034C7: [0.00€ ]"</f>
        <v>Z9732034C7: [0.00€ ]</v>
      </c>
      <c r="Q407" t="str">
        <f>""</f>
        <v/>
      </c>
      <c r="R407" t="str">
        <f>""</f>
        <v/>
      </c>
      <c r="S407" t="str">
        <f>""</f>
        <v/>
      </c>
      <c r="T407" t="str">
        <f>"https://portaletrasparenza.consorziobacchiglione.it/dettagli/attodigara/6930/fornitura-n-12-ripetitore-alimentatore-ma-v-ingresso-e-uscita-per-impianti-vari.html"</f>
        <v>https://portaletrasparenza.consorziobacchiglione.it/dettagli/attodigara/6930/fornitura-n-12-ripetitore-alimentatore-ma-v-ingresso-e-uscita-per-impianti-vari.html</v>
      </c>
      <c r="U407" t="str">
        <f>"https://portaletrasparenza.consorziobacchiglione.it/download/attodigara/6930/62a20a15c3a87.PDF"</f>
        <v>https://portaletrasparenza.consorziobacchiglione.it/download/attodigara/6930/62a20a15c3a87.PDF</v>
      </c>
      <c r="V407">
        <f>(SUBSTITUTE(Tabella1[[#This Row],[Importo di aggiudicazione]],".",","))-(SUBSTITUTE(  SUBSTITUTE(          SUBSTITUTE(Tabella1[[#This Row],[Dettaglio somme liquidate]],Tabella1[[#This Row],[CIG]]&amp;": [",""),"€ ]",""),".",","))</f>
        <v>3365.2</v>
      </c>
    </row>
    <row r="408" spans="1:22" x14ac:dyDescent="0.3">
      <c r="A408" t="str">
        <f>"Affidamento"</f>
        <v>Affidamento</v>
      </c>
      <c r="B408" t="str">
        <f>"Manutenzione , riparazione e lavaggio mezzi con targa: PDAH662, PDAH661, PDAF480, Motobarca N 5."</f>
        <v>Manutenzione , riparazione e lavaggio mezzi con targa: PDAH662, PDAH661, PDAF480, Motobarca N 5.</v>
      </c>
      <c r="C408" t="str">
        <f>"Z691A8F5BD"</f>
        <v>Z691A8F5BD</v>
      </c>
      <c r="D408" t="str">
        <f>"04/11/2021"</f>
        <v>04/11/2021</v>
      </c>
      <c r="E408" t="str">
        <f>""</f>
        <v/>
      </c>
      <c r="F408" t="str">
        <f>""</f>
        <v/>
      </c>
      <c r="G408" t="str">
        <f>"1693.99"</f>
        <v>1693.99</v>
      </c>
      <c r="H408" t="str">
        <f>"Consorzio di bonifica Bacchiglione"</f>
        <v>Consorzio di bonifica Bacchiglione</v>
      </c>
      <c r="I408" t="str">
        <f>"92223390284"</f>
        <v>92223390284</v>
      </c>
      <c r="J408" t="str">
        <f>"23-AFFIDAMENTO DIRETTO"</f>
        <v>23-AFFIDAMENTO DIRETTO</v>
      </c>
      <c r="K408" t="str">
        <f>"07/07/2021"</f>
        <v>07/07/2021</v>
      </c>
      <c r="L408" t="str">
        <f>"22/07/2021"</f>
        <v>22/07/2021</v>
      </c>
      <c r="M408" t="str">
        <f>""</f>
        <v/>
      </c>
      <c r="N408" t="str">
        <f>"Officina Biesse S.n.c. Via Matteotti 24 35020 Arzergrande PD"</f>
        <v>Officina Biesse S.n.c. Via Matteotti 24 35020 Arzergrande PD</v>
      </c>
      <c r="O408" t="str">
        <f>"Officina Biesse S.n.c. Via Matteotti 24 35020 Arzergrande PD"</f>
        <v>Officina Biesse S.n.c. Via Matteotti 24 35020 Arzergrande PD</v>
      </c>
      <c r="P408" t="str">
        <f>"Z691A8F5BD: [1693.99€ ]"</f>
        <v>Z691A8F5BD: [1693.99€ ]</v>
      </c>
      <c r="Q408" t="str">
        <f>""</f>
        <v/>
      </c>
      <c r="R408" t="str">
        <f>""</f>
        <v/>
      </c>
      <c r="S408" t="str">
        <f>""</f>
        <v/>
      </c>
      <c r="T408" t="str">
        <f>"https://portaletrasparenza.consorziobacchiglione.it/dettagli/attodigara/570/manutenzione-riparazione-e-lavaggio-mezzi-con-targa-pdah662-pdah661-pdaf480-motobarca-n-5.html"</f>
        <v>https://portaletrasparenza.consorziobacchiglione.it/dettagli/attodigara/570/manutenzione-riparazione-e-lavaggio-mezzi-con-targa-pdah662-pdah661-pdaf480-motobarca-n-5.html</v>
      </c>
      <c r="U408" t="str">
        <f>""</f>
        <v/>
      </c>
      <c r="V4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09" spans="1:22" x14ac:dyDescent="0.3">
      <c r="A409" t="str">
        <f>"Affidamento"</f>
        <v>Affidamento</v>
      </c>
      <c r="B409" t="str">
        <f>"Trasporto terreno vegetale per interramento del piano inferiore edificio abbattuto presso Idrovora Vaso Cavaizze."</f>
        <v>Trasporto terreno vegetale per interramento del piano inferiore edificio abbattuto presso Idrovora Vaso Cavaizze.</v>
      </c>
      <c r="C409" t="str">
        <f>"Z421A8F40D"</f>
        <v>Z421A8F40D</v>
      </c>
      <c r="D409" t="str">
        <f>"04/11/2021"</f>
        <v>04/11/2021</v>
      </c>
      <c r="E409" t="str">
        <f>""</f>
        <v/>
      </c>
      <c r="F409" t="str">
        <f>""</f>
        <v/>
      </c>
      <c r="G409" t="str">
        <f>"2200.00"</f>
        <v>2200.00</v>
      </c>
      <c r="H409" t="str">
        <f>"Consorzio di bonifica Bacchiglione"</f>
        <v>Consorzio di bonifica Bacchiglione</v>
      </c>
      <c r="I409" t="str">
        <f>"92223390284"</f>
        <v>92223390284</v>
      </c>
      <c r="J409" t="str">
        <f>"23-AFFIDAMENTO DIRETTO"</f>
        <v>23-AFFIDAMENTO DIRETTO</v>
      </c>
      <c r="K409" t="str">
        <f>"07/07/2021"</f>
        <v>07/07/2021</v>
      </c>
      <c r="L409" t="str">
        <f>"06/09/2021"</f>
        <v>06/09/2021</v>
      </c>
      <c r="M409" t="str">
        <f>""</f>
        <v/>
      </c>
      <c r="N409" t="str">
        <f>"Trovò s.r.l. Via Idrovora, 3 - 35020 Codevigo (PD)"</f>
        <v>Trovò s.r.l. Via Idrovora, 3 - 35020 Codevigo (PD)</v>
      </c>
      <c r="O409" t="str">
        <f>"Trovò s.r.l. Via Idrovora, 3 - 35020 Codevigo (PD)"</f>
        <v>Trovò s.r.l. Via Idrovora, 3 - 35020 Codevigo (PD)</v>
      </c>
      <c r="P409" t="str">
        <f>"Z421A8F40D: [2200.00€ ]"</f>
        <v>Z421A8F40D: [2200.00€ ]</v>
      </c>
      <c r="Q409" t="str">
        <f>""</f>
        <v/>
      </c>
      <c r="R409" t="str">
        <f>""</f>
        <v/>
      </c>
      <c r="S409" t="str">
        <f>""</f>
        <v/>
      </c>
      <c r="T409" t="str">
        <f>"https://portaletrasparenza.consorziobacchiglione.it/dettagli/attodigara/569/trasporto-terreno-vegetale-per-interramento-del-piano-inferiore-edificio-abbattuto-presso-idrovora-vaso-cavaizze.html"</f>
        <v>https://portaletrasparenza.consorziobacchiglione.it/dettagli/attodigara/569/trasporto-terreno-vegetale-per-interramento-del-piano-inferiore-edificio-abbattuto-presso-idrovora-vaso-cavaizze.html</v>
      </c>
      <c r="U409" t="str">
        <f>""</f>
        <v/>
      </c>
      <c r="V4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10" spans="1:22" x14ac:dyDescent="0.3">
      <c r="A410" t="str">
        <f>"Affidamento"</f>
        <v>Affidamento</v>
      </c>
      <c r="B410" t="str">
        <f>"Demolizione recupero e smaltimento materiale del fabbricato crollato all'Idrovora Vaso Cavaizze."</f>
        <v>Demolizione recupero e smaltimento materiale del fabbricato crollato all'Idrovora Vaso Cavaizze.</v>
      </c>
      <c r="C410" t="str">
        <f>"Z301A8F31F"</f>
        <v>Z301A8F31F</v>
      </c>
      <c r="D410" t="str">
        <f>"04/11/2021"</f>
        <v>04/11/2021</v>
      </c>
      <c r="E410" t="str">
        <f>""</f>
        <v/>
      </c>
      <c r="F410" t="str">
        <f>""</f>
        <v/>
      </c>
      <c r="G410" t="str">
        <f>"5000.00"</f>
        <v>5000.00</v>
      </c>
      <c r="H410" t="str">
        <f>"Consorzio di bonifica Bacchiglione"</f>
        <v>Consorzio di bonifica Bacchiglione</v>
      </c>
      <c r="I410" t="str">
        <f>"92223390284"</f>
        <v>92223390284</v>
      </c>
      <c r="J410" t="str">
        <f>"23-AFFIDAMENTO DIRETTO"</f>
        <v>23-AFFIDAMENTO DIRETTO</v>
      </c>
      <c r="K410" t="str">
        <f>"07/07/2021"</f>
        <v>07/07/2021</v>
      </c>
      <c r="L410" t="str">
        <f>"06/09/2021"</f>
        <v>06/09/2021</v>
      </c>
      <c r="M410" t="str">
        <f>""</f>
        <v/>
      </c>
      <c r="N410" t="str">
        <f>"Trovò s.r.l. Via Idrovora, 3 - 35020 Codevigo (PD)"</f>
        <v>Trovò s.r.l. Via Idrovora, 3 - 35020 Codevigo (PD)</v>
      </c>
      <c r="O410" t="str">
        <f>"Trovò s.r.l. Via Idrovora, 3 - 35020 Codevigo (PD)"</f>
        <v>Trovò s.r.l. Via Idrovora, 3 - 35020 Codevigo (PD)</v>
      </c>
      <c r="P410" t="str">
        <f>"Z301A8F31F: [5000.00€ ]"</f>
        <v>Z301A8F31F: [5000.00€ ]</v>
      </c>
      <c r="Q410" t="str">
        <f>""</f>
        <v/>
      </c>
      <c r="R410" t="str">
        <f>""</f>
        <v/>
      </c>
      <c r="S410" t="str">
        <f>""</f>
        <v/>
      </c>
      <c r="T410" t="str">
        <f>"https://portaletrasparenza.consorziobacchiglione.it/dettagli/attodigara/568/demolizione-recupero-e-smaltimento-materiale-del-fabbricato-crollato-all-idrovora-vaso-cavaizze.html"</f>
        <v>https://portaletrasparenza.consorziobacchiglione.it/dettagli/attodigara/568/demolizione-recupero-e-smaltimento-materiale-del-fabbricato-crollato-all-idrovora-vaso-cavaizze.html</v>
      </c>
      <c r="U410" t="str">
        <f>""</f>
        <v/>
      </c>
      <c r="V4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11" spans="1:22" x14ac:dyDescent="0.3">
      <c r="A411" t="str">
        <f>"Affidamento"</f>
        <v>Affidamento</v>
      </c>
      <c r="B411" t="str">
        <f>"Lavoro di rifilettatura distributore impianto ingrassaggio elettropompe Idrovora Fossa del Pan, e sostituzione scaldiglia G.E. Idrovora Baldon."</f>
        <v>Lavoro di rifilettatura distributore impianto ingrassaggio elettropompe Idrovora Fossa del Pan, e sostituzione scaldiglia G.E. Idrovora Baldon.</v>
      </c>
      <c r="C411" t="str">
        <f>"Z001A8EFFD"</f>
        <v>Z001A8EFFD</v>
      </c>
      <c r="D411" t="str">
        <f>"04/11/2021"</f>
        <v>04/11/2021</v>
      </c>
      <c r="E411" t="str">
        <f>""</f>
        <v/>
      </c>
      <c r="F411" t="str">
        <f>""</f>
        <v/>
      </c>
      <c r="G411" t="str">
        <f>"372.00"</f>
        <v>372.00</v>
      </c>
      <c r="H411" t="str">
        <f>"Consorzio di bonifica Bacchiglione"</f>
        <v>Consorzio di bonifica Bacchiglione</v>
      </c>
      <c r="I411" t="str">
        <f>"92223390284"</f>
        <v>92223390284</v>
      </c>
      <c r="J411" t="str">
        <f>"23-AFFIDAMENTO DIRETTO"</f>
        <v>23-AFFIDAMENTO DIRETTO</v>
      </c>
      <c r="K411" t="str">
        <f>"07/07/2021"</f>
        <v>07/07/2021</v>
      </c>
      <c r="L411" t="str">
        <f>"21/07/2021"</f>
        <v>21/07/2021</v>
      </c>
      <c r="M411" t="str">
        <f>""</f>
        <v/>
      </c>
      <c r="N411" t="str">
        <f>"Officina Biesse S.n.c. Via Matteotti 24 35020 Arzergrande PD"</f>
        <v>Officina Biesse S.n.c. Via Matteotti 24 35020 Arzergrande PD</v>
      </c>
      <c r="O411" t="str">
        <f>"Officina Biesse S.n.c. Via Matteotti 24 35020 Arzergrande PD"</f>
        <v>Officina Biesse S.n.c. Via Matteotti 24 35020 Arzergrande PD</v>
      </c>
      <c r="P411" t="str">
        <f>"Z001A8EFFD: [372.00€ ]"</f>
        <v>Z001A8EFFD: [372.00€ ]</v>
      </c>
      <c r="Q411" t="str">
        <f>""</f>
        <v/>
      </c>
      <c r="R411" t="str">
        <f>""</f>
        <v/>
      </c>
      <c r="S411" t="str">
        <f>""</f>
        <v/>
      </c>
      <c r="T411" t="str">
        <f>"https://portaletrasparenza.consorziobacchiglione.it/dettagli/attodigara/567/lavoro-di-rifilettatura-distributore-impianto-ingrassaggio-elettropompe-idrovora-fossa-del-pan-e-sostituzione-scaldiglia-g-e-idrovora-baldon.html"</f>
        <v>https://portaletrasparenza.consorziobacchiglione.it/dettagli/attodigara/567/lavoro-di-rifilettatura-distributore-impianto-ingrassaggio-elettropompe-idrovora-fossa-del-pan-e-sostituzione-scaldiglia-g-e-idrovora-baldon.html</v>
      </c>
      <c r="U411" t="str">
        <f>""</f>
        <v/>
      </c>
      <c r="V41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12" spans="1:22" x14ac:dyDescent="0.3">
      <c r="A412" t="str">
        <f>"Affidamento"</f>
        <v>Affidamento</v>
      </c>
      <c r="B412" t="str">
        <f>"Trasporto escavatore a noleggio da Selvazzano a Codevigo su scolo Altipiano."</f>
        <v>Trasporto escavatore a noleggio da Selvazzano a Codevigo su scolo Altipiano.</v>
      </c>
      <c r="C412" t="str">
        <f>"Z971A8EA9B"</f>
        <v>Z971A8EA9B</v>
      </c>
      <c r="D412" t="str">
        <f>"04/11/2021"</f>
        <v>04/11/2021</v>
      </c>
      <c r="E412" t="str">
        <f>""</f>
        <v/>
      </c>
      <c r="F412" t="str">
        <f>""</f>
        <v/>
      </c>
      <c r="G412" t="str">
        <f>"275.00"</f>
        <v>275.00</v>
      </c>
      <c r="H412" t="str">
        <f>"Consorzio di bonifica Bacchiglione"</f>
        <v>Consorzio di bonifica Bacchiglione</v>
      </c>
      <c r="I412" t="str">
        <f>"92223390284"</f>
        <v>92223390284</v>
      </c>
      <c r="J412" t="str">
        <f>"23-AFFIDAMENTO DIRETTO"</f>
        <v>23-AFFIDAMENTO DIRETTO</v>
      </c>
      <c r="K412" t="str">
        <f>"07/07/2021"</f>
        <v>07/07/2021</v>
      </c>
      <c r="L412" t="str">
        <f>"10/08/2021"</f>
        <v>10/08/2021</v>
      </c>
      <c r="M412" t="str">
        <f>""</f>
        <v/>
      </c>
      <c r="N412" t="str">
        <f>"Trovò s.r.l. Via Idrovora, 3 - 35020 Codevigo (PD)"</f>
        <v>Trovò s.r.l. Via Idrovora, 3 - 35020 Codevigo (PD)</v>
      </c>
      <c r="O412" t="str">
        <f>"Trovò s.r.l. Via Idrovora, 3 - 35020 Codevigo (PD)"</f>
        <v>Trovò s.r.l. Via Idrovora, 3 - 35020 Codevigo (PD)</v>
      </c>
      <c r="P412" t="str">
        <f>"Z971A8EA9B: [275.00€ ]"</f>
        <v>Z971A8EA9B: [275.00€ ]</v>
      </c>
      <c r="Q412" t="str">
        <f>""</f>
        <v/>
      </c>
      <c r="R412" t="str">
        <f>""</f>
        <v/>
      </c>
      <c r="S412" t="str">
        <f>""</f>
        <v/>
      </c>
      <c r="T412" t="str">
        <f>"https://portaletrasparenza.consorziobacchiglione.it/dettagli/attodigara/566/trasporto-escavatore-a-noleggio-da-selvazzano-a-codevigo-su-scolo-altipiano.html"</f>
        <v>https://portaletrasparenza.consorziobacchiglione.it/dettagli/attodigara/566/trasporto-escavatore-a-noleggio-da-selvazzano-a-codevigo-su-scolo-altipiano.html</v>
      </c>
      <c r="U412" t="str">
        <f>""</f>
        <v/>
      </c>
      <c r="V4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13" spans="1:22" x14ac:dyDescent="0.3">
      <c r="A413" t="str">
        <f>"Affidamento"</f>
        <v>Affidamento</v>
      </c>
      <c r="B413" t="str">
        <f>"Servizio sostitutivo mensa personale periferico anno 2016. UTO PRATIARCATI. Integrazione impegno di spesa"</f>
        <v>Servizio sostitutivo mensa personale periferico anno 2016. UTO PRATIARCATI. Integrazione impegno di spesa</v>
      </c>
      <c r="C413" t="str">
        <f>"ZD41A8EF48"</f>
        <v>ZD41A8EF48</v>
      </c>
      <c r="D413" t="str">
        <f>"04/11/2021"</f>
        <v>04/11/2021</v>
      </c>
      <c r="E413" t="str">
        <f>""</f>
        <v/>
      </c>
      <c r="F413" t="str">
        <f>""</f>
        <v/>
      </c>
      <c r="G413" t="str">
        <f>"4545.45"</f>
        <v>4545.45</v>
      </c>
      <c r="H413" t="str">
        <f>"Consorzio di bonifica Bacchiglione"</f>
        <v>Consorzio di bonifica Bacchiglione</v>
      </c>
      <c r="I413" t="str">
        <f>"92223390284"</f>
        <v>92223390284</v>
      </c>
      <c r="J413" t="str">
        <f>"23-AFFIDAMENTO DIRETTO"</f>
        <v>23-AFFIDAMENTO DIRETTO</v>
      </c>
      <c r="K413" t="str">
        <f>"07/07/2021"</f>
        <v>07/07/2021</v>
      </c>
      <c r="L413" t="str">
        <f>"31/12/2021"</f>
        <v>31/12/2021</v>
      </c>
      <c r="M413" t="str">
        <f>""</f>
        <v/>
      </c>
      <c r="N413" t="str">
        <f>"LA TORRE S.R.L.S."</f>
        <v>LA TORRE S.R.L.S.</v>
      </c>
      <c r="O413" t="str">
        <f>"LA TORRE S.R.L.S."</f>
        <v>LA TORRE S.R.L.S.</v>
      </c>
      <c r="P413" t="str">
        <f>"ZD41A8EF48: [4545.45€ ]"</f>
        <v>ZD41A8EF48: [4545.45€ ]</v>
      </c>
      <c r="Q413" t="str">
        <f>""</f>
        <v/>
      </c>
      <c r="R413" t="str">
        <f>""</f>
        <v/>
      </c>
      <c r="S413" t="str">
        <f>""</f>
        <v/>
      </c>
      <c r="T413" t="str">
        <f>"https://portaletrasparenza.consorziobacchiglione.it/dettagli/attodigara/564/servizio-sostitutivo-mensa-personale-periferico-anno-2016-uto-pratiarcati-integrazione-impegno-di-spesa.html"</f>
        <v>https://portaletrasparenza.consorziobacchiglione.it/dettagli/attodigara/564/servizio-sostitutivo-mensa-personale-periferico-anno-2016-uto-pratiarcati-integrazione-impegno-di-spesa.html</v>
      </c>
      <c r="U413" t="str">
        <f>""</f>
        <v/>
      </c>
      <c r="V4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14" spans="1:22" x14ac:dyDescent="0.3">
      <c r="A414" t="str">
        <f>"Affidamento"</f>
        <v>Affidamento</v>
      </c>
      <c r="B414" t="str">
        <f>"Lavori di manutenzione alle opere consorziali per l'anno 2016 - Reparto Orientale (cottimo n. 04/2016)"</f>
        <v>Lavori di manutenzione alle opere consorziali per l'anno 2016 - Reparto Orientale (cottimo n. 04/2016)</v>
      </c>
      <c r="C414" t="str">
        <f>"6638731620"</f>
        <v>6638731620</v>
      </c>
      <c r="D414" t="str">
        <f>"04/11/2021"</f>
        <v>04/11/2021</v>
      </c>
      <c r="E414" t="str">
        <f>""</f>
        <v/>
      </c>
      <c r="F414" t="str">
        <f>""</f>
        <v/>
      </c>
      <c r="G414" t="str">
        <f>"117810.00"</f>
        <v>117810.00</v>
      </c>
      <c r="H414" t="str">
        <f>"Consorzio di bonifica Bacchiglione"</f>
        <v>Consorzio di bonifica Bacchiglione</v>
      </c>
      <c r="I414" t="str">
        <f>"92223390284"</f>
        <v>92223390284</v>
      </c>
      <c r="J414" t="str">
        <f>"08-AFFIDAMENTO IN ECONOMIA - COTTIMO FIDUCIARIO"</f>
        <v>08-AFFIDAMENTO IN ECONOMIA - COTTIMO FIDUCIARIO</v>
      </c>
      <c r="K414" t="str">
        <f>"07/07/2021"</f>
        <v>07/07/2021</v>
      </c>
      <c r="L414" t="str">
        <f>"12/06/2021"</f>
        <v>12/06/2021</v>
      </c>
      <c r="M414" t="str">
        <f>""</f>
        <v/>
      </c>
      <c r="N414" t="str">
        <f>"Viel Giampaolo | New Viedil s.r.l. | Viale Valter | F.lli Capuzzo s.r.l. | Impresa Pasqual Zemiro s.r.l."</f>
        <v>Viel Giampaolo | New Viedil s.r.l. | Viale Valter | F.lli Capuzzo s.r.l. | Impresa Pasqual Zemiro s.r.l.</v>
      </c>
      <c r="O414" t="str">
        <f>"Impresa Pasqual Zemiro s.r.l."</f>
        <v>Impresa Pasqual Zemiro s.r.l.</v>
      </c>
      <c r="P414" t="str">
        <f>"6638731620: [117809.92€ ]"</f>
        <v>6638731620: [117809.92€ ]</v>
      </c>
      <c r="Q414" t="str">
        <f>""</f>
        <v/>
      </c>
      <c r="R414" t="str">
        <f>""</f>
        <v/>
      </c>
      <c r="S414" t="str">
        <f>""</f>
        <v/>
      </c>
      <c r="T414" t="str">
        <f>"https://portaletrasparenza.consorziobacchiglione.it/dettagli/attodigara/6/lavori-di-manutenzione-alle-opere-consorziali-per-l-anno-2016-reparto-orientale-cottimo-n-04-2016.html"</f>
        <v>https://portaletrasparenza.consorziobacchiglione.it/dettagli/attodigara/6/lavori-di-manutenzione-alle-opere-consorziali-per-l-anno-2016-reparto-orientale-cottimo-n-04-2016.html</v>
      </c>
      <c r="U414" t="str">
        <f>""</f>
        <v/>
      </c>
      <c r="V414">
        <f>(SUBSTITUTE(Tabella1[[#This Row],[Importo di aggiudicazione]],".",","))-(SUBSTITUTE(  SUBSTITUTE(          SUBSTITUTE(Tabella1[[#This Row],[Dettaglio somme liquidate]],Tabella1[[#This Row],[CIG]]&amp;": [",""),"€ ]",""),".",","))</f>
        <v>8.000000000174623E-2</v>
      </c>
    </row>
    <row r="415" spans="1:22" x14ac:dyDescent="0.3">
      <c r="A415" t="str">
        <f>"Affidamento"</f>
        <v>Affidamento</v>
      </c>
      <c r="B415" t="str">
        <f>"Modifica quadro automazione EP1 per comando nuova pompa grasso, inserimento di due temporizzatori Idrovora Voltabarozzo."</f>
        <v>Modifica quadro automazione EP1 per comando nuova pompa grasso, inserimento di due temporizzatori Idrovora Voltabarozzo.</v>
      </c>
      <c r="C415" t="str">
        <f>"Z2F1A8DA57"</f>
        <v>Z2F1A8DA57</v>
      </c>
      <c r="D415" t="str">
        <f>"04/11/2021"</f>
        <v>04/11/2021</v>
      </c>
      <c r="E415" t="str">
        <f>""</f>
        <v/>
      </c>
      <c r="F415" t="str">
        <f>""</f>
        <v/>
      </c>
      <c r="G415" t="str">
        <f>"495.25"</f>
        <v>495.25</v>
      </c>
      <c r="H415" t="str">
        <f>"Consorzio di bonifica Bacchiglione"</f>
        <v>Consorzio di bonifica Bacchiglione</v>
      </c>
      <c r="I415" t="str">
        <f>"92223390284"</f>
        <v>92223390284</v>
      </c>
      <c r="J415" t="str">
        <f>"23-AFFIDAMENTO DIRETTO"</f>
        <v>23-AFFIDAMENTO DIRETTO</v>
      </c>
      <c r="K415" t="str">
        <f>"07/07/2021"</f>
        <v>07/07/2021</v>
      </c>
      <c r="L415" t="str">
        <f>"30/09/2021"</f>
        <v>30/09/2021</v>
      </c>
      <c r="M415" t="str">
        <f>""</f>
        <v/>
      </c>
      <c r="N415" t="str">
        <f>"A.S.P. Tecnologie srl Via Padre Nicolini 29 35013 Cittadella PD | M.T.Elettric SNC Via Malipiera 48B 45014 Porto Viro RO | Picello s.r.l. V.le del Progresso 14A 35026 Conselve PD"</f>
        <v>A.S.P. Tecnologie srl Via Padre Nicolini 29 35013 Cittadella PD | M.T.Elettric SNC Via Malipiera 48B 45014 Porto Viro RO | Picello s.r.l. V.le del Progresso 14A 35026 Conselve PD</v>
      </c>
      <c r="O415" t="str">
        <f>"Picello s.r.l. V.le del Progresso 14A 35026 Conselve PD"</f>
        <v>Picello s.r.l. V.le del Progresso 14A 35026 Conselve PD</v>
      </c>
      <c r="P415" t="str">
        <f>"Z2F1A8DA57: [0.00€ ]"</f>
        <v>Z2F1A8DA57: [0.00€ ]</v>
      </c>
      <c r="Q415" t="str">
        <f>""</f>
        <v/>
      </c>
      <c r="R415" t="str">
        <f>""</f>
        <v/>
      </c>
      <c r="S415" t="str">
        <f>""</f>
        <v/>
      </c>
      <c r="T415" t="str">
        <f>"https://portaletrasparenza.consorziobacchiglione.it/dettagli/attodigara/565/modifica-quadro-automazione-ep1-per-comando-nuova-pompa-grasso-inserimento-di-due-temporizzatori-idrovora-voltabarozzo.html"</f>
        <v>https://portaletrasparenza.consorziobacchiglione.it/dettagli/attodigara/565/modifica-quadro-automazione-ep1-per-comando-nuova-pompa-grasso-inserimento-di-due-temporizzatori-idrovora-voltabarozzo.html</v>
      </c>
      <c r="U415" t="str">
        <f>""</f>
        <v/>
      </c>
      <c r="V415">
        <f>(SUBSTITUTE(Tabella1[[#This Row],[Importo di aggiudicazione]],".",","))-(SUBSTITUTE(  SUBSTITUTE(          SUBSTITUTE(Tabella1[[#This Row],[Dettaglio somme liquidate]],Tabella1[[#This Row],[CIG]]&amp;": [",""),"€ ]",""),".",","))</f>
        <v>495.25</v>
      </c>
    </row>
    <row r="416" spans="1:22" x14ac:dyDescent="0.3">
      <c r="A416" t="str">
        <f>"Affidamento"</f>
        <v>Affidamento</v>
      </c>
      <c r="B416" t="str">
        <f>"Servizio sostitutivo mensa personale periferico anno 2016. UTO SESTA PRESA - integrazione impegno di spesa."</f>
        <v>Servizio sostitutivo mensa personale periferico anno 2016. UTO SESTA PRESA - integrazione impegno di spesa.</v>
      </c>
      <c r="C416" t="str">
        <f>"ZC81A8EFF8"</f>
        <v>ZC81A8EFF8</v>
      </c>
      <c r="D416" t="str">
        <f>"04/11/2021"</f>
        <v>04/11/2021</v>
      </c>
      <c r="E416" t="str">
        <f>""</f>
        <v/>
      </c>
      <c r="F416" t="str">
        <f>""</f>
        <v/>
      </c>
      <c r="G416" t="str">
        <f>"2272.73"</f>
        <v>2272.73</v>
      </c>
      <c r="H416" t="str">
        <f>"Consorzio di bonifica Bacchiglione"</f>
        <v>Consorzio di bonifica Bacchiglione</v>
      </c>
      <c r="I416" t="str">
        <f>"92223390284"</f>
        <v>92223390284</v>
      </c>
      <c r="J416" t="str">
        <f>"23-AFFIDAMENTO DIRETTO"</f>
        <v>23-AFFIDAMENTO DIRETTO</v>
      </c>
      <c r="K416" t="str">
        <f>"07/07/2021"</f>
        <v>07/07/2021</v>
      </c>
      <c r="L416" t="str">
        <f>"31/12/2021"</f>
        <v>31/12/2021</v>
      </c>
      <c r="M416" t="str">
        <f>""</f>
        <v/>
      </c>
      <c r="N416" t="str">
        <f>"TRATTORIA LANTERNA BLU DI MANCINI SIMONE"</f>
        <v>TRATTORIA LANTERNA BLU DI MANCINI SIMONE</v>
      </c>
      <c r="O416" t="str">
        <f>"TRATTORIA LANTERNA BLU DI MANCINI SIMONE"</f>
        <v>TRATTORIA LANTERNA BLU DI MANCINI SIMONE</v>
      </c>
      <c r="P416" t="str">
        <f>"ZC81A8EFF8: [803.64€ ]"</f>
        <v>ZC81A8EFF8: [803.64€ ]</v>
      </c>
      <c r="Q416" t="str">
        <f>""</f>
        <v/>
      </c>
      <c r="R416" t="str">
        <f>""</f>
        <v/>
      </c>
      <c r="S416" t="str">
        <f>""</f>
        <v/>
      </c>
      <c r="T416" t="str">
        <f>"https://portaletrasparenza.consorziobacchiglione.it/dettagli/attodigara/563/servizio-sostitutivo-mensa-personale-periferico-anno-2016-uto-sesta-presa-integrazione-impegno-di-spesa.html"</f>
        <v>https://portaletrasparenza.consorziobacchiglione.it/dettagli/attodigara/563/servizio-sostitutivo-mensa-personale-periferico-anno-2016-uto-sesta-presa-integrazione-impegno-di-spesa.html</v>
      </c>
      <c r="U416" t="str">
        <f>""</f>
        <v/>
      </c>
      <c r="V416">
        <f>(SUBSTITUTE(Tabella1[[#This Row],[Importo di aggiudicazione]],".",","))-(SUBSTITUTE(  SUBSTITUTE(          SUBSTITUTE(Tabella1[[#This Row],[Dettaglio somme liquidate]],Tabella1[[#This Row],[CIG]]&amp;": [",""),"€ ]",""),".",","))</f>
        <v>1469.0900000000001</v>
      </c>
    </row>
    <row r="417" spans="1:22" x14ac:dyDescent="0.3">
      <c r="A417" t="str">
        <f>"Affidamento"</f>
        <v>Affidamento</v>
      </c>
      <c r="B417" t="str">
        <f>"Progettazione elettrica per impianto luce e forza motrice, con tavola grafica e schemi quadro elettrici presso Impianto Irriguo Olmo."</f>
        <v>Progettazione elettrica per impianto luce e forza motrice, con tavola grafica e schemi quadro elettrici presso Impianto Irriguo Olmo.</v>
      </c>
      <c r="C417" t="str">
        <f>"Z0E3261FEF"</f>
        <v>Z0E3261FEF</v>
      </c>
      <c r="D417" t="str">
        <f>"03/09/2021"</f>
        <v>03/09/2021</v>
      </c>
      <c r="E417" t="str">
        <f>""</f>
        <v/>
      </c>
      <c r="F417" t="str">
        <f>""</f>
        <v/>
      </c>
      <c r="G417" t="str">
        <f>"945.00"</f>
        <v>945.00</v>
      </c>
      <c r="H417" t="str">
        <f>"Consorzio di bonifica Bacchiglione"</f>
        <v>Consorzio di bonifica Bacchiglione</v>
      </c>
      <c r="I417" t="str">
        <f>"92223390284"</f>
        <v>92223390284</v>
      </c>
      <c r="J417" t="str">
        <f>"23-AFFIDAMENTO DIRETTO"</f>
        <v>23-AFFIDAMENTO DIRETTO</v>
      </c>
      <c r="K417" t="str">
        <f>"07/07/2021"</f>
        <v>07/07/2021</v>
      </c>
      <c r="L417" t="str">
        <f>"29/07/2021"</f>
        <v>29/07/2021</v>
      </c>
      <c r="M417" t="str">
        <f>""</f>
        <v/>
      </c>
      <c r="N417" t="str">
        <f>"Novatecno Studio Associato Via Mazzini 8 36040 Grisignano di Zocco VI"</f>
        <v>Novatecno Studio Associato Via Mazzini 8 36040 Grisignano di Zocco VI</v>
      </c>
      <c r="O417" t="str">
        <f>"Novatecno Studio Associato Via Mazzini 8 36040 Grisignano di Zocco VI"</f>
        <v>Novatecno Studio Associato Via Mazzini 8 36040 Grisignano di Zocco VI</v>
      </c>
      <c r="P417" t="str">
        <f>"Z0E3261FEF: [737.10€ ]"</f>
        <v>Z0E3261FEF: [737.10€ ]</v>
      </c>
      <c r="Q417" t="str">
        <f>""</f>
        <v/>
      </c>
      <c r="R417" t="str">
        <f>""</f>
        <v/>
      </c>
      <c r="S417" t="str">
        <f>""</f>
        <v/>
      </c>
      <c r="T417" t="str">
        <f>"https://portaletrasparenza.consorziobacchiglione.it/dettagli/attodigara/6999/progettazione-elettrica-per-impianto-luce-e-forza-motrice-con-tavola-grafica-e-schemi-quadro-elettrici-presso-impianto-irriguo-olmo.html"</f>
        <v>https://portaletrasparenza.consorziobacchiglione.it/dettagli/attodigara/6999/progettazione-elettrica-per-impianto-luce-e-forza-motrice-con-tavola-grafica-e-schemi-quadro-elettrici-presso-impianto-irriguo-olmo.html</v>
      </c>
      <c r="U417" t="str">
        <f>"https://portaletrasparenza.consorziobacchiglione.it/download/attodigara/6999/63ac45bc68118.PDF"</f>
        <v>https://portaletrasparenza.consorziobacchiglione.it/download/attodigara/6999/63ac45bc68118.PDF</v>
      </c>
      <c r="V417">
        <f>(SUBSTITUTE(Tabella1[[#This Row],[Importo di aggiudicazione]],".",","))-(SUBSTITUTE(  SUBSTITUTE(          SUBSTITUTE(Tabella1[[#This Row],[Dettaglio somme liquidate]],Tabella1[[#This Row],[CIG]]&amp;": [",""),"€ ]",""),".",","))</f>
        <v>207.89999999999998</v>
      </c>
    </row>
    <row r="418" spans="1:22" x14ac:dyDescent="0.3">
      <c r="A418" t="str">
        <f>"Affidamento"</f>
        <v>Affidamento</v>
      </c>
      <c r="B418" t="str">
        <f>"Lavaggio braccio decespugliatore del mezzo targato: AKV863 per perdita olio idraulico"</f>
        <v>Lavaggio braccio decespugliatore del mezzo targato: AKV863 per perdita olio idraulico</v>
      </c>
      <c r="C418" t="str">
        <f>"ZE73263239"</f>
        <v>ZE73263239</v>
      </c>
      <c r="D418" t="str">
        <f>"19/07/2021"</f>
        <v>19/07/2021</v>
      </c>
      <c r="E418" t="str">
        <f>""</f>
        <v/>
      </c>
      <c r="F418" t="str">
        <f>""</f>
        <v/>
      </c>
      <c r="G418" t="str">
        <f>"251.50"</f>
        <v>251.50</v>
      </c>
      <c r="H418" t="str">
        <f>"Consorzio di bonifica Bacchiglione"</f>
        <v>Consorzio di bonifica Bacchiglione</v>
      </c>
      <c r="I418" t="str">
        <f>"92223390284"</f>
        <v>92223390284</v>
      </c>
      <c r="J418" t="str">
        <f>"23-AFFIDAMENTO DIRETTO"</f>
        <v>23-AFFIDAMENTO DIRETTO</v>
      </c>
      <c r="K418" t="str">
        <f>"07/07/2021"</f>
        <v>07/07/2021</v>
      </c>
      <c r="L418" t="str">
        <f>"07/09/2021"</f>
        <v>07/09/2021</v>
      </c>
      <c r="M418" t="str">
        <f>""</f>
        <v/>
      </c>
      <c r="N418" t="str">
        <f>"Autoriparazioni Ravazzolo s.r.l. Via Roma 259a 35030 Montemerlo di Cervarese Santa Croce PD"</f>
        <v>Autoriparazioni Ravazzolo s.r.l. Via Roma 259a 35030 Montemerlo di Cervarese Santa Croce PD</v>
      </c>
      <c r="O418" t="str">
        <f>"Autoriparazioni Ravazzolo s.r.l. Via Roma 259a 35030 Montemerlo di Cervarese Santa Croce PD"</f>
        <v>Autoriparazioni Ravazzolo s.r.l. Via Roma 259a 35030 Montemerlo di Cervarese Santa Croce PD</v>
      </c>
      <c r="P418" t="str">
        <f>"ZE73263239: [251.50€ ]"</f>
        <v>ZE73263239: [251.50€ ]</v>
      </c>
      <c r="Q418" t="str">
        <f>""</f>
        <v/>
      </c>
      <c r="R418" t="str">
        <f>""</f>
        <v/>
      </c>
      <c r="S418" t="str">
        <f>""</f>
        <v/>
      </c>
      <c r="T418" t="str">
        <f>"https://portaletrasparenza.consorziobacchiglione.it/dettagli/attodigara/7000/lavaggio-braccio-decespugliatore-del-mezzo-targato-akv863-per-perdita-olio-idraulico.html"</f>
        <v>https://portaletrasparenza.consorziobacchiglione.it/dettagli/attodigara/7000/lavaggio-braccio-decespugliatore-del-mezzo-targato-akv863-per-perdita-olio-idraulico.html</v>
      </c>
      <c r="U418" t="str">
        <f>"https://portaletrasparenza.consorziobacchiglione.it/download/attodigara/7000/63ac45a7084f1.PDF"</f>
        <v>https://portaletrasparenza.consorziobacchiglione.it/download/attodigara/7000/63ac45a7084f1.PDF</v>
      </c>
      <c r="V41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19" spans="1:22" x14ac:dyDescent="0.3">
      <c r="A419" t="str">
        <f>"Affidamento"</f>
        <v>Affidamento</v>
      </c>
      <c r="B419" t="str">
        <f>"Interventi strutturali in rete minore di bonifica. Ricalibratura di reti di bonifica gestione di invasi e recapito finale nel bacino Noventana - 2° Stralcio Somme a disposizione dell Amministrazione - Installazione sistema tlc presso impianto"</f>
        <v>Interventi strutturali in rete minore di bonifica. Ricalibratura di reti di bonifica gestione di invasi e recapito finale nel bacino Noventana - 2° Stralcio Somme a disposizione dell Amministrazione - Installazione sistema tlc presso impianto</v>
      </c>
      <c r="C419" t="str">
        <f>"8742288C45"</f>
        <v>8742288C45</v>
      </c>
      <c r="D419" t="str">
        <f>"25/05/2021"</f>
        <v>25/05/2021</v>
      </c>
      <c r="E419" t="str">
        <f>""</f>
        <v/>
      </c>
      <c r="F419" t="str">
        <f>""</f>
        <v/>
      </c>
      <c r="G419" t="str">
        <f>"89329.09"</f>
        <v>89329.09</v>
      </c>
      <c r="H419" t="str">
        <f>"Consorzio di bonifica Bacchiglione"</f>
        <v>Consorzio di bonifica Bacchiglione</v>
      </c>
      <c r="I419" t="str">
        <f>"92223390284"</f>
        <v>92223390284</v>
      </c>
      <c r="J419" t="str">
        <f>"23-AFFIDAMENTO DIRETTO"</f>
        <v>23-AFFIDAMENTO DIRETTO</v>
      </c>
      <c r="K419" t="str">
        <f>"07/07/2021"</f>
        <v>07/07/2021</v>
      </c>
      <c r="L419" t="str">
        <f>"04/07/2022"</f>
        <v>04/07/2022</v>
      </c>
      <c r="M419" t="str">
        <f>""</f>
        <v/>
      </c>
      <c r="N419" t="str">
        <f>"Picello s.r.l. | A.S.P. Tecnologie srl | GPG S.r.l. | FD Automazioni di Donola Flavio E Donola Marco snc | Elettromeccanica Euganea s.r.l."</f>
        <v>Picello s.r.l. | A.S.P. Tecnologie srl | GPG S.r.l. | FD Automazioni di Donola Flavio E Donola Marco snc | Elettromeccanica Euganea s.r.l.</v>
      </c>
      <c r="O419" t="str">
        <f>"FD Automazioni di Donola Flavio E Donola Marco snc"</f>
        <v>FD Automazioni di Donola Flavio E Donola Marco snc</v>
      </c>
      <c r="P419" t="str">
        <f>"8742288C45: [88882.44€ ]"</f>
        <v>8742288C45: [88882.44€ ]</v>
      </c>
      <c r="Q419" t="str">
        <f>""</f>
        <v/>
      </c>
      <c r="R419" t="str">
        <f>""</f>
        <v/>
      </c>
      <c r="S419" t="str">
        <f>""</f>
        <v/>
      </c>
      <c r="T419" t="s">
        <v>100</v>
      </c>
      <c r="U419" t="str">
        <f>"https://portaletrasparenza.consorziobacchiglione.it/download/attodigara/6497/63ac45903e72c.PDF"</f>
        <v>https://portaletrasparenza.consorziobacchiglione.it/download/attodigara/6497/63ac45903e72c.PDF</v>
      </c>
      <c r="V419">
        <f>(SUBSTITUTE(Tabella1[[#This Row],[Importo di aggiudicazione]],".",","))-(SUBSTITUTE(  SUBSTITUTE(          SUBSTITUTE(Tabella1[[#This Row],[Dettaglio somme liquidate]],Tabella1[[#This Row],[CIG]]&amp;": [",""),"€ ]",""),".",","))</f>
        <v>446.64999999999418</v>
      </c>
    </row>
    <row r="420" spans="1:22" x14ac:dyDescent="0.3">
      <c r="A420" t="str">
        <f>"Affidamento"</f>
        <v>Affidamento</v>
      </c>
      <c r="B420" t="str">
        <f>"Riparazione e manutenzione elettropompa Tellarini presso 2° Bacino Irriguo"</f>
        <v>Riparazione e manutenzione elettropompa Tellarini presso 2° Bacino Irriguo</v>
      </c>
      <c r="C420" t="str">
        <f>"Z4832F30A6"</f>
        <v>Z4832F30A6</v>
      </c>
      <c r="D420" t="str">
        <f>"07/09/2021"</f>
        <v>07/09/2021</v>
      </c>
      <c r="E420" t="str">
        <f>""</f>
        <v/>
      </c>
      <c r="F420" t="str">
        <f>""</f>
        <v/>
      </c>
      <c r="G420" t="str">
        <f>"6200.00"</f>
        <v>6200.00</v>
      </c>
      <c r="H420" t="str">
        <f>"Consorzio di bonifica Bacchiglione"</f>
        <v>Consorzio di bonifica Bacchiglione</v>
      </c>
      <c r="I420" t="str">
        <f>"92223390284"</f>
        <v>92223390284</v>
      </c>
      <c r="J420" t="str">
        <f>"23-AFFIDAMENTO DIRETTO"</f>
        <v>23-AFFIDAMENTO DIRETTO</v>
      </c>
      <c r="K420" t="str">
        <f>"07/09/2021"</f>
        <v>07/09/2021</v>
      </c>
      <c r="L420" t="str">
        <f>"30/09/2021"</f>
        <v>30/09/2021</v>
      </c>
      <c r="M420" t="str">
        <f>""</f>
        <v/>
      </c>
      <c r="N420" t="str">
        <f>"Officina Biesse S.n.c. Via Matteotti 24 35020 Arzergrande PD"</f>
        <v>Officina Biesse S.n.c. Via Matteotti 24 35020 Arzergrande PD</v>
      </c>
      <c r="O420" t="str">
        <f>"Officina Biesse S.n.c. Via Matteotti 24 35020 Arzergrande PD"</f>
        <v>Officina Biesse S.n.c. Via Matteotti 24 35020 Arzergrande PD</v>
      </c>
      <c r="P420" t="s">
        <v>178</v>
      </c>
      <c r="Q420" t="str">
        <f>""</f>
        <v/>
      </c>
      <c r="R420" t="str">
        <f>""</f>
        <v/>
      </c>
      <c r="S420" t="str">
        <f>""</f>
        <v/>
      </c>
      <c r="T420" t="str">
        <f>"https://portaletrasparenza.consorziobacchiglione.it/dettagli/attodigara/7113/riparazione-e-manutenzione-elettropompa-tellarini-presso-2-bacino-irriguo.html"</f>
        <v>https://portaletrasparenza.consorziobacchiglione.it/dettagli/attodigara/7113/riparazione-e-manutenzione-elettropompa-tellarini-presso-2-bacino-irriguo.html</v>
      </c>
      <c r="U420" t="str">
        <f>"https://portaletrasparenza.consorziobacchiglione.it/download/attodigara/7113/63ac45bfee8cf.PDF"</f>
        <v>https://portaletrasparenza.consorziobacchiglione.it/download/attodigara/7113/63ac45bfee8cf.PDF</v>
      </c>
      <c r="V42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21" spans="1:22" x14ac:dyDescent="0.3">
      <c r="A421" t="str">
        <f>"Affidamento"</f>
        <v>Affidamento</v>
      </c>
      <c r="B421" t="str">
        <f>"Raccolta, trasporto e smaltimento rifiuti provenienti da Idrovora Bernio ,Trezze."</f>
        <v>Raccolta, trasporto e smaltimento rifiuti provenienti da Idrovora Bernio ,Trezze.</v>
      </c>
      <c r="C421" t="str">
        <f>"Z4F32F1DF2"</f>
        <v>Z4F32F1DF2</v>
      </c>
      <c r="D421" t="str">
        <f>"07/09/2021"</f>
        <v>07/09/2021</v>
      </c>
      <c r="E421" t="str">
        <f>""</f>
        <v/>
      </c>
      <c r="F421" t="str">
        <f>""</f>
        <v/>
      </c>
      <c r="G421" t="str">
        <f>"1684.64"</f>
        <v>1684.64</v>
      </c>
      <c r="H421" t="str">
        <f>"Consorzio di bonifica Bacchiglione"</f>
        <v>Consorzio di bonifica Bacchiglione</v>
      </c>
      <c r="I421" t="str">
        <f>"92223390284"</f>
        <v>92223390284</v>
      </c>
      <c r="J421" t="str">
        <f>"23-AFFIDAMENTO DIRETTO"</f>
        <v>23-AFFIDAMENTO DIRETTO</v>
      </c>
      <c r="K421" t="str">
        <f>"07/09/2021"</f>
        <v>07/09/2021</v>
      </c>
      <c r="L421" t="str">
        <f>"20/08/2021"</f>
        <v>20/08/2021</v>
      </c>
      <c r="M421" t="str">
        <f>""</f>
        <v/>
      </c>
      <c r="N421" t="str">
        <f>"VERITAS S.p.A. Sestiere Santa Croce 489 30135 Venezia"</f>
        <v>VERITAS S.p.A. Sestiere Santa Croce 489 30135 Venezia</v>
      </c>
      <c r="O421" t="str">
        <f>"VERITAS S.p.A. Sestiere Santa Croce 489 30135 Venezia"</f>
        <v>VERITAS S.p.A. Sestiere Santa Croce 489 30135 Venezia</v>
      </c>
      <c r="P421" t="s">
        <v>257</v>
      </c>
      <c r="Q421" t="str">
        <f>""</f>
        <v/>
      </c>
      <c r="R421" t="str">
        <f>""</f>
        <v/>
      </c>
      <c r="S421" t="str">
        <f>""</f>
        <v/>
      </c>
      <c r="T421" t="str">
        <f>"https://portaletrasparenza.consorziobacchiglione.it/dettagli/attodigara/7111/raccolta-trasporto-e-smaltimento-rifiuti-provenienti-da-idrovora-bernio-trezze.html"</f>
        <v>https://portaletrasparenza.consorziobacchiglione.it/dettagli/attodigara/7111/raccolta-trasporto-e-smaltimento-rifiuti-provenienti-da-idrovora-bernio-trezze.html</v>
      </c>
      <c r="U421" t="str">
        <f>"https://portaletrasparenza.consorziobacchiglione.it/download/attodigara/7111/63ac45bf7beae.PDF"</f>
        <v>https://portaletrasparenza.consorziobacchiglione.it/download/attodigara/7111/63ac45bf7beae.PDF</v>
      </c>
      <c r="V4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22" spans="1:22" x14ac:dyDescent="0.3">
      <c r="A422" t="str">
        <f>"Affidamento"</f>
        <v>Affidamento</v>
      </c>
      <c r="B422" t="str">
        <f>"Noleggio autocarrata 20 MT per verifiche ARPAV presso Impianto di Cambroso, Corte Monte e Corte Valle."</f>
        <v>Noleggio autocarrata 20 MT per verifiche ARPAV presso Impianto di Cambroso, Corte Monte e Corte Valle.</v>
      </c>
      <c r="C422" t="str">
        <f>"Z9232F1974"</f>
        <v>Z9232F1974</v>
      </c>
      <c r="D422" t="str">
        <f>"07/09/2021"</f>
        <v>07/09/2021</v>
      </c>
      <c r="E422" t="str">
        <f>""</f>
        <v/>
      </c>
      <c r="F422" t="str">
        <f>""</f>
        <v/>
      </c>
      <c r="G422" t="str">
        <f>"510.00"</f>
        <v>510.00</v>
      </c>
      <c r="H422" t="str">
        <f>"Consorzio di bonifica Bacchiglione"</f>
        <v>Consorzio di bonifica Bacchiglione</v>
      </c>
      <c r="I422" t="str">
        <f>"92223390284"</f>
        <v>92223390284</v>
      </c>
      <c r="J422" t="str">
        <f>"23-AFFIDAMENTO DIRETTO"</f>
        <v>23-AFFIDAMENTO DIRETTO</v>
      </c>
      <c r="K422" t="str">
        <f>"07/09/2021"</f>
        <v>07/09/2021</v>
      </c>
      <c r="L422" t="str">
        <f>"15/10/2021"</f>
        <v>15/10/2021</v>
      </c>
      <c r="M422" t="str">
        <f>""</f>
        <v/>
      </c>
      <c r="N422" t="str">
        <f>"Nolo Piovese s.r.l. Via Padana 34 35020 S. Angelo di Piove PD"</f>
        <v>Nolo Piovese s.r.l. Via Padana 34 35020 S. Angelo di Piove PD</v>
      </c>
      <c r="O422" t="str">
        <f>"Nolo Piovese s.r.l. Via Padana 34 35020 S. Angelo di Piove PD"</f>
        <v>Nolo Piovese s.r.l. Via Padana 34 35020 S. Angelo di Piove PD</v>
      </c>
      <c r="P422" t="s">
        <v>264</v>
      </c>
      <c r="Q422" t="str">
        <f>""</f>
        <v/>
      </c>
      <c r="R422" t="str">
        <f>""</f>
        <v/>
      </c>
      <c r="S422" t="str">
        <f>""</f>
        <v/>
      </c>
      <c r="T422" t="str">
        <f>"https://portaletrasparenza.consorziobacchiglione.it/dettagli/attodigara/7110/noleggio-autocarrata-20-mt-per-verifiche-arpav-presso-impianto-di-cambroso-corte-monte-e-corte-valle.html"</f>
        <v>https://portaletrasparenza.consorziobacchiglione.it/dettagli/attodigara/7110/noleggio-autocarrata-20-mt-per-verifiche-arpav-presso-impianto-di-cambroso-corte-monte-e-corte-valle.html</v>
      </c>
      <c r="U422" t="str">
        <f>"https://portaletrasparenza.consorziobacchiglione.it/download/attodigara/7110/63ac45bf42c72.PDF"</f>
        <v>https://portaletrasparenza.consorziobacchiglione.it/download/attodigara/7110/63ac45bf42c72.PDF</v>
      </c>
      <c r="V4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23" spans="1:22" x14ac:dyDescent="0.3">
      <c r="A423" t="str">
        <f>"Affidamento"</f>
        <v>Affidamento</v>
      </c>
      <c r="B423" t="str">
        <f>"Fornitura n.1 fustone da 1000 litri di Urea per mezzi presso Bacino Pratiarcati"</f>
        <v>Fornitura n.1 fustone da 1000 litri di Urea per mezzi presso Bacino Pratiarcati</v>
      </c>
      <c r="C423" t="str">
        <f>"Z9232F2829"</f>
        <v>Z9232F2829</v>
      </c>
      <c r="D423" t="str">
        <f>"07/09/2021"</f>
        <v>07/09/2021</v>
      </c>
      <c r="E423" t="str">
        <f>""</f>
        <v/>
      </c>
      <c r="F423" t="str">
        <f>""</f>
        <v/>
      </c>
      <c r="G423" t="str">
        <f>"500.00"</f>
        <v>500.00</v>
      </c>
      <c r="H423" t="str">
        <f>"Consorzio di bonifica Bacchiglione"</f>
        <v>Consorzio di bonifica Bacchiglione</v>
      </c>
      <c r="I423" t="str">
        <f>"92223390284"</f>
        <v>92223390284</v>
      </c>
      <c r="J423" t="str">
        <f>"23-AFFIDAMENTO DIRETTO"</f>
        <v>23-AFFIDAMENTO DIRETTO</v>
      </c>
      <c r="K423" t="str">
        <f>"07/09/2021"</f>
        <v>07/09/2021</v>
      </c>
      <c r="L423" t="str">
        <f>"30/09/2021"</f>
        <v>30/09/2021</v>
      </c>
      <c r="M423" t="str">
        <f>""</f>
        <v/>
      </c>
      <c r="N423" t="str">
        <f>"Consorzio Agrario del Nordest Via Francia 2 37135 Verona"</f>
        <v>Consorzio Agrario del Nordest Via Francia 2 37135 Verona</v>
      </c>
      <c r="O423" t="str">
        <f>"Consorzio Agrario del Nordest Via Francia 2 37135 Verona"</f>
        <v>Consorzio Agrario del Nordest Via Francia 2 37135 Verona</v>
      </c>
      <c r="P423" t="s">
        <v>266</v>
      </c>
      <c r="Q423" t="str">
        <f>""</f>
        <v/>
      </c>
      <c r="R423" t="str">
        <f>""</f>
        <v/>
      </c>
      <c r="S423" t="str">
        <f>""</f>
        <v/>
      </c>
      <c r="T423" t="str">
        <f>"https://portaletrasparenza.consorziobacchiglione.it/dettagli/attodigara/7112/fornitura-n-1-fustone-da-1000-litri-di-urea-per-mezzi-presso-bacino-pratiarcati.html"</f>
        <v>https://portaletrasparenza.consorziobacchiglione.it/dettagli/attodigara/7112/fornitura-n-1-fustone-da-1000-litri-di-urea-per-mezzi-presso-bacino-pratiarcati.html</v>
      </c>
      <c r="U423" t="str">
        <f>"https://portaletrasparenza.consorziobacchiglione.it/download/attodigara/7112/63ac45bfb53b4.PDF"</f>
        <v>https://portaletrasparenza.consorziobacchiglione.it/download/attodigara/7112/63ac45bfb53b4.PDF</v>
      </c>
      <c r="V4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24" spans="1:22" x14ac:dyDescent="0.3">
      <c r="A424" t="str">
        <f>"Affidamento"</f>
        <v>Affidamento</v>
      </c>
      <c r="B424" t="str">
        <f>"Riparazione martello tassellatore Hitachi modello DH21PB3"</f>
        <v>Riparazione martello tassellatore Hitachi modello DH21PB3</v>
      </c>
      <c r="C424" t="str">
        <f>"Z7D32F390D"</f>
        <v>Z7D32F390D</v>
      </c>
      <c r="D424" t="str">
        <f>"07/09/2021"</f>
        <v>07/09/2021</v>
      </c>
      <c r="E424" t="str">
        <f>""</f>
        <v/>
      </c>
      <c r="F424" t="str">
        <f>""</f>
        <v/>
      </c>
      <c r="G424" t="str">
        <f>"148.00"</f>
        <v>148.00</v>
      </c>
      <c r="H424" t="str">
        <f>"Consorzio di bonifica Bacchiglione"</f>
        <v>Consorzio di bonifica Bacchiglione</v>
      </c>
      <c r="I424" t="str">
        <f>"92223390284"</f>
        <v>92223390284</v>
      </c>
      <c r="J424" t="str">
        <f>"23-AFFIDAMENTO DIRETTO"</f>
        <v>23-AFFIDAMENTO DIRETTO</v>
      </c>
      <c r="K424" t="str">
        <f>"07/09/2021"</f>
        <v>07/09/2021</v>
      </c>
      <c r="L424" t="str">
        <f>"30/09/2021"</f>
        <v>30/09/2021</v>
      </c>
      <c r="M424" t="str">
        <f>""</f>
        <v/>
      </c>
      <c r="N424" t="str">
        <f>"Scarpa Sergio Elettromeccanica S.n.c. di Scarpa Paola E C. Via A. Vivaldi 7 35028 Piove di Sacco PD"</f>
        <v>Scarpa Sergio Elettromeccanica S.n.c. di Scarpa Paola E C. Via A. Vivaldi 7 35028 Piove di Sacco PD</v>
      </c>
      <c r="O424" t="str">
        <f>"Scarpa Sergio Elettromeccanica S.n.c. di Scarpa Paola E C. Via A. Vivaldi 7 35028 Piove di Sacco PD"</f>
        <v>Scarpa Sergio Elettromeccanica S.n.c. di Scarpa Paola E C. Via A. Vivaldi 7 35028 Piove di Sacco PD</v>
      </c>
      <c r="P424" t="s">
        <v>311</v>
      </c>
      <c r="Q424" t="str">
        <f>""</f>
        <v/>
      </c>
      <c r="R424" t="str">
        <f>""</f>
        <v/>
      </c>
      <c r="S424" t="str">
        <f>""</f>
        <v/>
      </c>
      <c r="T424" t="str">
        <f>"https://portaletrasparenza.consorziobacchiglione.it/dettagli/attodigara/7115/riparazione-martello-tassellatore-hitachi-modello-dh21pb3.html"</f>
        <v>https://portaletrasparenza.consorziobacchiglione.it/dettagli/attodigara/7115/riparazione-martello-tassellatore-hitachi-modello-dh21pb3.html</v>
      </c>
      <c r="U424" t="str">
        <f>"https://portaletrasparenza.consorziobacchiglione.it/download/attodigara/7115/63ac45c06c201.PDF"</f>
        <v>https://portaletrasparenza.consorziobacchiglione.it/download/attodigara/7115/63ac45c06c201.PDF</v>
      </c>
      <c r="V4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25" spans="1:22" x14ac:dyDescent="0.3">
      <c r="A425" t="str">
        <f>"Affidamento"</f>
        <v>Affidamento</v>
      </c>
      <c r="B425" t="str">
        <f>"Riparazione e manutenzione mezzo targato: AKS681"</f>
        <v>Riparazione e manutenzione mezzo targato: AKS681</v>
      </c>
      <c r="C425" t="str">
        <f>"ZF832F3201"</f>
        <v>ZF832F3201</v>
      </c>
      <c r="D425" t="str">
        <f>"07/09/2021"</f>
        <v>07/09/2021</v>
      </c>
      <c r="E425" t="str">
        <f>""</f>
        <v/>
      </c>
      <c r="F425" t="str">
        <f>""</f>
        <v/>
      </c>
      <c r="G425" t="str">
        <f>"622.79"</f>
        <v>622.79</v>
      </c>
      <c r="H425" t="str">
        <f>"Consorzio di bonifica Bacchiglione"</f>
        <v>Consorzio di bonifica Bacchiglione</v>
      </c>
      <c r="I425" t="str">
        <f>"92223390284"</f>
        <v>92223390284</v>
      </c>
      <c r="J425" t="str">
        <f>"23-AFFIDAMENTO DIRETTO"</f>
        <v>23-AFFIDAMENTO DIRETTO</v>
      </c>
      <c r="K425" t="str">
        <f>"07/09/2021"</f>
        <v>07/09/2021</v>
      </c>
      <c r="L425" t="str">
        <f>"27/09/2021"</f>
        <v>27/09/2021</v>
      </c>
      <c r="M425" t="str">
        <f>""</f>
        <v/>
      </c>
      <c r="N425" t="str">
        <f>"Officina Biesse S.n.c. Via Matteotti 24 35020 Arzergrande PD"</f>
        <v>Officina Biesse S.n.c. Via Matteotti 24 35020 Arzergrande PD</v>
      </c>
      <c r="O425" t="str">
        <f>"Officina Biesse S.n.c. Via Matteotti 24 35020 Arzergrande PD"</f>
        <v>Officina Biesse S.n.c. Via Matteotti 24 35020 Arzergrande PD</v>
      </c>
      <c r="P425" t="str">
        <f>"ZF832F3201: [622.79€ ]"</f>
        <v>ZF832F3201: [622.79€ ]</v>
      </c>
      <c r="Q425" t="str">
        <f>""</f>
        <v/>
      </c>
      <c r="R425" t="str">
        <f>""</f>
        <v/>
      </c>
      <c r="S425" t="str">
        <f>""</f>
        <v/>
      </c>
      <c r="T425" t="str">
        <f>"https://portaletrasparenza.consorziobacchiglione.it/dettagli/attodigara/7114/riparazione-e-manutenzione-mezzo-targato-aks681.html"</f>
        <v>https://portaletrasparenza.consorziobacchiglione.it/dettagli/attodigara/7114/riparazione-e-manutenzione-mezzo-targato-aks681.html</v>
      </c>
      <c r="U425" t="str">
        <f>"https://portaletrasparenza.consorziobacchiglione.it/download/attodigara/7114/63ac45c0335c1.PDF"</f>
        <v>https://portaletrasparenza.consorziobacchiglione.it/download/attodigara/7114/63ac45c0335c1.PDF</v>
      </c>
      <c r="V4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26" spans="1:22" x14ac:dyDescent="0.3">
      <c r="A426" t="str">
        <f>"Affidamento"</f>
        <v>Affidamento</v>
      </c>
      <c r="B426" t="str">
        <f>"Fornitura ricambi vari per mezzi Consortili"</f>
        <v>Fornitura ricambi vari per mezzi Consortili</v>
      </c>
      <c r="C426" t="str">
        <f>"Z5832F3FBF"</f>
        <v>Z5832F3FBF</v>
      </c>
      <c r="D426" t="str">
        <f>"09/09/2021"</f>
        <v>09/09/2021</v>
      </c>
      <c r="E426" t="str">
        <f>""</f>
        <v/>
      </c>
      <c r="F426" t="str">
        <f>""</f>
        <v/>
      </c>
      <c r="G426" t="str">
        <f>"173.85"</f>
        <v>173.85</v>
      </c>
      <c r="H426" t="str">
        <f>"Consorzio di bonifica Bacchiglione"</f>
        <v>Consorzio di bonifica Bacchiglione</v>
      </c>
      <c r="I426" t="str">
        <f>"92223390284"</f>
        <v>92223390284</v>
      </c>
      <c r="J426" t="str">
        <f>"23-AFFIDAMENTO DIRETTO"</f>
        <v>23-AFFIDAMENTO DIRETTO</v>
      </c>
      <c r="K426" t="str">
        <f>"07/09/2021"</f>
        <v>07/09/2021</v>
      </c>
      <c r="L426" t="str">
        <f>"24/09/2021"</f>
        <v>24/09/2021</v>
      </c>
      <c r="M426" t="str">
        <f>""</f>
        <v/>
      </c>
      <c r="N426" t="str">
        <f>"Autoricambi s.n.c. di Mardegan Paolo e Manfron Veronica Via A.Valerio 26-28 Piove di Sacco PD"</f>
        <v>Autoricambi s.n.c. di Mardegan Paolo e Manfron Veronica Via A.Valerio 26-28 Piove di Sacco PD</v>
      </c>
      <c r="O426" t="str">
        <f>"Autoricambi s.n.c. di Mardegan Paolo e Manfron Veronica Via A.Valerio 26-28 Piove di Sacco PD"</f>
        <v>Autoricambi s.n.c. di Mardegan Paolo e Manfron Veronica Via A.Valerio 26-28 Piove di Sacco PD</v>
      </c>
      <c r="P426" t="s">
        <v>306</v>
      </c>
      <c r="Q426" t="str">
        <f>""</f>
        <v/>
      </c>
      <c r="R426" t="str">
        <f>""</f>
        <v/>
      </c>
      <c r="S426" t="str">
        <f>""</f>
        <v/>
      </c>
      <c r="T426" t="str">
        <f>"https://portaletrasparenza.consorziobacchiglione.it/dettagli/attodigara/7116/fornitura-ricambi-vari-per-mezzi-consortili.html"</f>
        <v>https://portaletrasparenza.consorziobacchiglione.it/dettagli/attodigara/7116/fornitura-ricambi-vari-per-mezzi-consortili.html</v>
      </c>
      <c r="U426" t="str">
        <f>"https://portaletrasparenza.consorziobacchiglione.it/download/attodigara/7116/63ac45c11c783.PDF"</f>
        <v>https://portaletrasparenza.consorziobacchiglione.it/download/attodigara/7116/63ac45c11c783.PDF</v>
      </c>
      <c r="V4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27" spans="1:22" x14ac:dyDescent="0.3">
      <c r="A427" t="str">
        <f>"Affidamento"</f>
        <v>Affidamento</v>
      </c>
      <c r="B427" t="str">
        <f>"Pulizia vasca biologica sede consorziale."</f>
        <v>Pulizia vasca biologica sede consorziale.</v>
      </c>
      <c r="C427" t="str">
        <f>"Z621B7C258"</f>
        <v>Z621B7C258</v>
      </c>
      <c r="D427" t="str">
        <f>"04/11/2021"</f>
        <v>04/11/2021</v>
      </c>
      <c r="E427" t="str">
        <f>""</f>
        <v/>
      </c>
      <c r="F427" t="str">
        <f>""</f>
        <v/>
      </c>
      <c r="G427" t="str">
        <f>"200.00"</f>
        <v>200.00</v>
      </c>
      <c r="H427" t="str">
        <f>"Consorzio di bonifica Bacchiglione"</f>
        <v>Consorzio di bonifica Bacchiglione</v>
      </c>
      <c r="I427" t="str">
        <f>"92223390284"</f>
        <v>92223390284</v>
      </c>
      <c r="J427" t="str">
        <f>"23-AFFIDAMENTO DIRETTO"</f>
        <v>23-AFFIDAMENTO DIRETTO</v>
      </c>
      <c r="K427" t="str">
        <f>"07/10/2021"</f>
        <v>07/10/2021</v>
      </c>
      <c r="L427" t="str">
        <f>"18/10/2021"</f>
        <v>18/10/2021</v>
      </c>
      <c r="M427" t="str">
        <f>""</f>
        <v/>
      </c>
      <c r="N427" t="str">
        <f>"Mietto Gaetano Espurghi s.r.l. Via Vigonovese 88 35020 Saonara PD"</f>
        <v>Mietto Gaetano Espurghi s.r.l. Via Vigonovese 88 35020 Saonara PD</v>
      </c>
      <c r="O427" t="str">
        <f>"Mietto Gaetano Espurghi s.r.l. Via Vigonovese 88 35020 Saonara PD"</f>
        <v>Mietto Gaetano Espurghi s.r.l. Via Vigonovese 88 35020 Saonara PD</v>
      </c>
      <c r="P427" t="str">
        <f>"Z621B7C258: [200.00€ ]"</f>
        <v>Z621B7C258: [200.00€ ]</v>
      </c>
      <c r="Q427" t="str">
        <f>""</f>
        <v/>
      </c>
      <c r="R427" t="str">
        <f>""</f>
        <v/>
      </c>
      <c r="S427" t="str">
        <f>""</f>
        <v/>
      </c>
      <c r="T427" t="str">
        <f>"https://portaletrasparenza.consorziobacchiglione.it/dettagli/attodigara/809/pulizia-vasca-biologica-sede-consorziale.html"</f>
        <v>https://portaletrasparenza.consorziobacchiglione.it/dettagli/attodigara/809/pulizia-vasca-biologica-sede-consorziale.html</v>
      </c>
      <c r="U427" t="str">
        <f>""</f>
        <v/>
      </c>
      <c r="V42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28" spans="1:22" x14ac:dyDescent="0.3">
      <c r="A428" t="str">
        <f>"Affidamento"</f>
        <v>Affidamento</v>
      </c>
      <c r="B428" t="str">
        <f>"Servizio di supporto tecnico amministrativo alla valutazione rischio bellico. - Processo ID 015-12."</f>
        <v>Servizio di supporto tecnico amministrativo alla valutazione rischio bellico. - Processo ID 015-12.</v>
      </c>
      <c r="C428" t="str">
        <f>"Z041B7D521"</f>
        <v>Z041B7D521</v>
      </c>
      <c r="D428" t="str">
        <f>"04/11/2021"</f>
        <v>04/11/2021</v>
      </c>
      <c r="E428" t="str">
        <f>""</f>
        <v/>
      </c>
      <c r="F428" t="str">
        <f>""</f>
        <v/>
      </c>
      <c r="G428" t="str">
        <f>"3750.00"</f>
        <v>3750.00</v>
      </c>
      <c r="H428" t="str">
        <f>"Consorzio di bonifica Bacchiglione"</f>
        <v>Consorzio di bonifica Bacchiglione</v>
      </c>
      <c r="I428" t="str">
        <f>"92223390284"</f>
        <v>92223390284</v>
      </c>
      <c r="J428" t="str">
        <f>"08-AFFIDAMENTO IN ECONOMIA - COTTIMO FIDUCIARIO"</f>
        <v>08-AFFIDAMENTO IN ECONOMIA - COTTIMO FIDUCIARIO</v>
      </c>
      <c r="K428" t="str">
        <f>"07/10/2021"</f>
        <v>07/10/2021</v>
      </c>
      <c r="L428" t="str">
        <f>"23/11/2021"</f>
        <v>23/11/2021</v>
      </c>
      <c r="M428" t="str">
        <f>""</f>
        <v/>
      </c>
      <c r="N428" t="str">
        <f>"SNB Service s.r.l."</f>
        <v>SNB Service s.r.l.</v>
      </c>
      <c r="O428" t="str">
        <f>"SNB Service s.r.l."</f>
        <v>SNB Service s.r.l.</v>
      </c>
      <c r="P428" t="str">
        <f>"Z041B7D521: [3750.00€ ]"</f>
        <v>Z041B7D521: [3750.00€ ]</v>
      </c>
      <c r="Q428" t="str">
        <f>""</f>
        <v/>
      </c>
      <c r="R428" t="str">
        <f>""</f>
        <v/>
      </c>
      <c r="S428" t="str">
        <f>""</f>
        <v/>
      </c>
      <c r="T428" t="str">
        <f>"https://portaletrasparenza.consorziobacchiglione.it/dettagli/attodigara/808/servizio-di-supporto-tecnico-amministrativo-alla-valutazione-rischio-bellico-processo-id-015-12.html"</f>
        <v>https://portaletrasparenza.consorziobacchiglione.it/dettagli/attodigara/808/servizio-di-supporto-tecnico-amministrativo-alla-valutazione-rischio-bellico-processo-id-015-12.html</v>
      </c>
      <c r="U428" t="str">
        <f>""</f>
        <v/>
      </c>
      <c r="V4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29" spans="1:22" x14ac:dyDescent="0.3">
      <c r="A429" t="str">
        <f>"Affidamento"</f>
        <v>Affidamento</v>
      </c>
      <c r="B429" t="str">
        <f>"Raccolta, trasporto e smaltimento rifiuti provenienti da Idrovore: Bernio, Trezze, Brondolo e Vallesella."</f>
        <v>Raccolta, trasporto e smaltimento rifiuti provenienti da Idrovore: Bernio, Trezze, Brondolo e Vallesella.</v>
      </c>
      <c r="C429" t="str">
        <f>"ZC9335C87D"</f>
        <v>ZC9335C87D</v>
      </c>
      <c r="D429" t="str">
        <f>"13/10/2021"</f>
        <v>13/10/2021</v>
      </c>
      <c r="E429" t="str">
        <f>""</f>
        <v/>
      </c>
      <c r="F429" t="str">
        <f>""</f>
        <v/>
      </c>
      <c r="G429" t="str">
        <f>"2868.85"</f>
        <v>2868.85</v>
      </c>
      <c r="H429" t="str">
        <f>"Consorzio di bonifica Bacchiglione"</f>
        <v>Consorzio di bonifica Bacchiglione</v>
      </c>
      <c r="I429" t="str">
        <f>"92223390284"</f>
        <v>92223390284</v>
      </c>
      <c r="J429" t="str">
        <f>"23-AFFIDAMENTO DIRETTO"</f>
        <v>23-AFFIDAMENTO DIRETTO</v>
      </c>
      <c r="K429" t="str">
        <f>"07/10/2021"</f>
        <v>07/10/2021</v>
      </c>
      <c r="L429" t="str">
        <f>"22/12/2021"</f>
        <v>22/12/2021</v>
      </c>
      <c r="M429" t="str">
        <f>""</f>
        <v/>
      </c>
      <c r="N429" t="str">
        <f>"VERITAS S.p.A. Sestiere Santa Croce 489 30135 Venezia"</f>
        <v>VERITAS S.p.A. Sestiere Santa Croce 489 30135 Venezia</v>
      </c>
      <c r="O429" t="str">
        <f>"VERITAS S.p.A. Sestiere Santa Croce 489 30135 Venezia"</f>
        <v>VERITAS S.p.A. Sestiere Santa Croce 489 30135 Venezia</v>
      </c>
      <c r="P429" t="s">
        <v>332</v>
      </c>
      <c r="Q429" t="str">
        <f>""</f>
        <v/>
      </c>
      <c r="R429" t="str">
        <f>""</f>
        <v/>
      </c>
      <c r="S429" t="str">
        <f>""</f>
        <v/>
      </c>
      <c r="T429" t="str">
        <f>"https://portaletrasparenza.consorziobacchiglione.it/dettagli/attodigara/7201/raccolta-trasporto-e-smaltimento-rifiuti-provenienti-da-idrovore-bernio-trezze-brondolo-e-vallesella.html"</f>
        <v>https://portaletrasparenza.consorziobacchiglione.it/dettagli/attodigara/7201/raccolta-trasporto-e-smaltimento-rifiuti-provenienti-da-idrovore-bernio-trezze-brondolo-e-vallesella.html</v>
      </c>
      <c r="U429" t="str">
        <f>"https://portaletrasparenza.consorziobacchiglione.it/download/attodigara/7201/63ac45d7e8127.PDF"</f>
        <v>https://portaletrasparenza.consorziobacchiglione.it/download/attodigara/7201/63ac45d7e8127.PDF</v>
      </c>
      <c r="V4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30" spans="1:22" x14ac:dyDescent="0.3">
      <c r="A430" t="str">
        <f>"Affidamento"</f>
        <v>Affidamento</v>
      </c>
      <c r="B430" t="str">
        <f>"Fornitura n 2 bombole gas per pirodiserbo Idrovora Vaso Cavaizze."</f>
        <v>Fornitura n 2 bombole gas per pirodiserbo Idrovora Vaso Cavaizze.</v>
      </c>
      <c r="C430" t="str">
        <f>"ZA71BE3667"</f>
        <v>ZA71BE3667</v>
      </c>
      <c r="D430" t="str">
        <f>"04/11/2021"</f>
        <v>04/11/2021</v>
      </c>
      <c r="E430" t="str">
        <f>""</f>
        <v/>
      </c>
      <c r="F430" t="str">
        <f>""</f>
        <v/>
      </c>
      <c r="G430" t="str">
        <f>"59.51"</f>
        <v>59.51</v>
      </c>
      <c r="H430" t="str">
        <f>"Consorzio di bonifica Bacchiglione"</f>
        <v>Consorzio di bonifica Bacchiglione</v>
      </c>
      <c r="I430" t="str">
        <f>"92223390284"</f>
        <v>92223390284</v>
      </c>
      <c r="J430" t="str">
        <f>"23-AFFIDAMENTO DIRETTO"</f>
        <v>23-AFFIDAMENTO DIRETTO</v>
      </c>
      <c r="K430" t="str">
        <f>"07/11/2021"</f>
        <v>07/11/2021</v>
      </c>
      <c r="L430" t="str">
        <f>"04/01/2021"</f>
        <v>04/01/2021</v>
      </c>
      <c r="M430" t="str">
        <f>""</f>
        <v/>
      </c>
      <c r="N430" t="str">
        <f>"Gollo Giovanni Via Vallona 65 35020 Conche di Codevigo PD"</f>
        <v>Gollo Giovanni Via Vallona 65 35020 Conche di Codevigo PD</v>
      </c>
      <c r="O430" t="str">
        <f>"Gollo Giovanni Via Vallona 65 35020 Conche di Codevigo PD"</f>
        <v>Gollo Giovanni Via Vallona 65 35020 Conche di Codevigo PD</v>
      </c>
      <c r="P430" t="s">
        <v>345</v>
      </c>
      <c r="Q430" t="str">
        <f>""</f>
        <v/>
      </c>
      <c r="R430" t="str">
        <f>""</f>
        <v/>
      </c>
      <c r="S430" t="str">
        <f>""</f>
        <v/>
      </c>
      <c r="T430" t="str">
        <f>"https://portaletrasparenza.consorziobacchiglione.it/dettagli/attodigara/889/fornitura-n-2-bombole-gas-per-pirodiserbo-idrovora-vaso-cavaizze.html"</f>
        <v>https://portaletrasparenza.consorziobacchiglione.it/dettagli/attodigara/889/fornitura-n-2-bombole-gas-per-pirodiserbo-idrovora-vaso-cavaizze.html</v>
      </c>
      <c r="U430" t="str">
        <f>""</f>
        <v/>
      </c>
      <c r="V4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31" spans="1:22" x14ac:dyDescent="0.3">
      <c r="A431" t="str">
        <f>"Affidamento"</f>
        <v>Affidamento</v>
      </c>
      <c r="B431" t="str">
        <f>"Aggiornamento e manutenzione programma ESRI ARCGIS PRO E."</f>
        <v>Aggiornamento e manutenzione programma ESRI ARCGIS PRO E.</v>
      </c>
      <c r="C431" t="str">
        <f>"ZDD1BE3C22"</f>
        <v>ZDD1BE3C22</v>
      </c>
      <c r="D431" t="str">
        <f>"04/11/2021"</f>
        <v>04/11/2021</v>
      </c>
      <c r="E431" t="str">
        <f>""</f>
        <v/>
      </c>
      <c r="F431" t="str">
        <f>""</f>
        <v/>
      </c>
      <c r="G431" t="str">
        <f>"2250.00"</f>
        <v>2250.00</v>
      </c>
      <c r="H431" t="str">
        <f>"Consorzio di bonifica Bacchiglione"</f>
        <v>Consorzio di bonifica Bacchiglione</v>
      </c>
      <c r="I431" t="str">
        <f>"92223390284"</f>
        <v>92223390284</v>
      </c>
      <c r="J431" t="str">
        <f>"23-AFFIDAMENTO DIRETTO"</f>
        <v>23-AFFIDAMENTO DIRETTO</v>
      </c>
      <c r="K431" t="str">
        <f>"07/11/2021"</f>
        <v>07/11/2021</v>
      </c>
      <c r="L431" t="str">
        <f>"03/01/2021"</f>
        <v>03/01/2021</v>
      </c>
      <c r="M431" t="str">
        <f>""</f>
        <v/>
      </c>
      <c r="N431" t="str">
        <f>"Gemmlab s.r.l. Via Jappelli 4 35031 Abano Terme PD"</f>
        <v>Gemmlab s.r.l. Via Jappelli 4 35031 Abano Terme PD</v>
      </c>
      <c r="O431" t="str">
        <f>"Gemmlab s.r.l. Via Jappelli 4 35031 Abano Terme PD"</f>
        <v>Gemmlab s.r.l. Via Jappelli 4 35031 Abano Terme PD</v>
      </c>
      <c r="P431" t="str">
        <f>"ZDD1BE3C22: [2250.00€ ]"</f>
        <v>ZDD1BE3C22: [2250.00€ ]</v>
      </c>
      <c r="Q431" t="str">
        <f>""</f>
        <v/>
      </c>
      <c r="R431" t="str">
        <f>""</f>
        <v/>
      </c>
      <c r="S431" t="str">
        <f>""</f>
        <v/>
      </c>
      <c r="T431" t="str">
        <f>"https://portaletrasparenza.consorziobacchiglione.it/dettagli/attodigara/890/aggiornamento-e-manutenzione-programma-esri-arcgis-pro-e.html"</f>
        <v>https://portaletrasparenza.consorziobacchiglione.it/dettagli/attodigara/890/aggiornamento-e-manutenzione-programma-esri-arcgis-pro-e.html</v>
      </c>
      <c r="U431" t="str">
        <f>""</f>
        <v/>
      </c>
      <c r="V4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32" spans="1:22" x14ac:dyDescent="0.3">
      <c r="A432" t="str">
        <f>"Affidamento"</f>
        <v>Affidamento</v>
      </c>
      <c r="B432" t="str">
        <f>"Fornitura materiale di ferramenta per lavori Bacino Sesta Presa e Montà Portello."</f>
        <v>Fornitura materiale di ferramenta per lavori Bacino Sesta Presa e Montà Portello.</v>
      </c>
      <c r="C432" t="str">
        <f>"Z7C1BE30B2"</f>
        <v>Z7C1BE30B2</v>
      </c>
      <c r="D432" t="str">
        <f>"04/11/2021"</f>
        <v>04/11/2021</v>
      </c>
      <c r="E432" t="str">
        <f>""</f>
        <v/>
      </c>
      <c r="F432" t="str">
        <f>""</f>
        <v/>
      </c>
      <c r="G432" t="str">
        <f>"531.26"</f>
        <v>531.26</v>
      </c>
      <c r="H432" t="str">
        <f>"Consorzio di bonifica Bacchiglione"</f>
        <v>Consorzio di bonifica Bacchiglione</v>
      </c>
      <c r="I432" t="str">
        <f>"92223390284"</f>
        <v>92223390284</v>
      </c>
      <c r="J432" t="str">
        <f>"23-AFFIDAMENTO DIRETTO"</f>
        <v>23-AFFIDAMENTO DIRETTO</v>
      </c>
      <c r="K432" t="str">
        <f>"07/11/2021"</f>
        <v>07/11/2021</v>
      </c>
      <c r="L432" t="str">
        <f>"05/01/2021"</f>
        <v>05/01/2021</v>
      </c>
      <c r="M432" t="str">
        <f>""</f>
        <v/>
      </c>
      <c r="N432" t="str">
        <f>"Idronord s.r.l. Via delle Industrie 3C 30036 Santa Maria Di Sala VE"</f>
        <v>Idronord s.r.l. Via delle Industrie 3C 30036 Santa Maria Di Sala VE</v>
      </c>
      <c r="O432" t="str">
        <f>"Idronord s.r.l. Via delle Industrie 3C 30036 Santa Maria Di Sala VE"</f>
        <v>Idronord s.r.l. Via delle Industrie 3C 30036 Santa Maria Di Sala VE</v>
      </c>
      <c r="P432" t="str">
        <f>"Z7C1BE30B2: [531.26€ ]"</f>
        <v>Z7C1BE30B2: [531.26€ ]</v>
      </c>
      <c r="Q432" t="str">
        <f>""</f>
        <v/>
      </c>
      <c r="R432" t="str">
        <f>""</f>
        <v/>
      </c>
      <c r="S432" t="str">
        <f>""</f>
        <v/>
      </c>
      <c r="T432" t="str">
        <f>"https://portaletrasparenza.consorziobacchiglione.it/dettagli/attodigara/888/fornitura-materiale-di-ferramenta-per-lavori-bacino-sesta-presa-e-monta-portello.html"</f>
        <v>https://portaletrasparenza.consorziobacchiglione.it/dettagli/attodigara/888/fornitura-materiale-di-ferramenta-per-lavori-bacino-sesta-presa-e-monta-portello.html</v>
      </c>
      <c r="U432" t="str">
        <f>""</f>
        <v/>
      </c>
      <c r="V4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33" spans="1:22" x14ac:dyDescent="0.3">
      <c r="A433" t="str">
        <f>"Affidamento"</f>
        <v>Affidamento</v>
      </c>
      <c r="B433" t="str">
        <f>"Completamento Server e Nas per Uffici S.Margherita."</f>
        <v>Completamento Server e Nas per Uffici S.Margherita.</v>
      </c>
      <c r="C433" t="str">
        <f>"Z781BE2DA8"</f>
        <v>Z781BE2DA8</v>
      </c>
      <c r="D433" t="str">
        <f>"04/11/2021"</f>
        <v>04/11/2021</v>
      </c>
      <c r="E433" t="str">
        <f>""</f>
        <v/>
      </c>
      <c r="F433" t="str">
        <f>""</f>
        <v/>
      </c>
      <c r="G433" t="str">
        <f>"1080.00"</f>
        <v>1080.00</v>
      </c>
      <c r="H433" t="str">
        <f>"Consorzio di bonifica Bacchiglione"</f>
        <v>Consorzio di bonifica Bacchiglione</v>
      </c>
      <c r="I433" t="str">
        <f>"92223390284"</f>
        <v>92223390284</v>
      </c>
      <c r="J433" t="str">
        <f>"23-AFFIDAMENTO DIRETTO"</f>
        <v>23-AFFIDAMENTO DIRETTO</v>
      </c>
      <c r="K433" t="str">
        <f>"07/11/2021"</f>
        <v>07/11/2021</v>
      </c>
      <c r="L433" t="str">
        <f>"04/01/2021"</f>
        <v>04/01/2021</v>
      </c>
      <c r="M433" t="str">
        <f>""</f>
        <v/>
      </c>
      <c r="N433" t="str">
        <f>"TPH Elettronica s.a.s. Via N. Pizzolo 51A 35132 Padova"</f>
        <v>TPH Elettronica s.a.s. Via N. Pizzolo 51A 35132 Padova</v>
      </c>
      <c r="O433" t="str">
        <f>"TPH Elettronica s.a.s. Via N. Pizzolo 51A 35132 Padova"</f>
        <v>TPH Elettronica s.a.s. Via N. Pizzolo 51A 35132 Padova</v>
      </c>
      <c r="P433" t="str">
        <f>"Z781BE2DA8: [1080.00€ ]"</f>
        <v>Z781BE2DA8: [1080.00€ ]</v>
      </c>
      <c r="Q433" t="str">
        <f>""</f>
        <v/>
      </c>
      <c r="R433" t="str">
        <f>""</f>
        <v/>
      </c>
      <c r="S433" t="str">
        <f>""</f>
        <v/>
      </c>
      <c r="T433" t="str">
        <f>"https://portaletrasparenza.consorziobacchiglione.it/dettagli/attodigara/887/completamento-server-e-nas-per-uffici-s-margherita.html"</f>
        <v>https://portaletrasparenza.consorziobacchiglione.it/dettagli/attodigara/887/completamento-server-e-nas-per-uffici-s-margherita.html</v>
      </c>
      <c r="U433" t="str">
        <f>""</f>
        <v/>
      </c>
      <c r="V4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34" spans="1:22" x14ac:dyDescent="0.3">
      <c r="A434" t="str">
        <f>"Affidamento"</f>
        <v>Affidamento</v>
      </c>
      <c r="B434" t="str">
        <f>"Installazione giunti di compensatori presso Idrovora Baldon"</f>
        <v>Installazione giunti di compensatori presso Idrovora Baldon</v>
      </c>
      <c r="C434" t="str">
        <f>"Z971C6B89D"</f>
        <v>Z971C6B89D</v>
      </c>
      <c r="D434" t="str">
        <f>"04/11/2021"</f>
        <v>04/11/2021</v>
      </c>
      <c r="E434" t="str">
        <f>""</f>
        <v/>
      </c>
      <c r="F434" t="str">
        <f>""</f>
        <v/>
      </c>
      <c r="G434" t="str">
        <f>"8700.00"</f>
        <v>8700.00</v>
      </c>
      <c r="H434" t="str">
        <f>"Consorzio di bonifica Bacchiglione"</f>
        <v>Consorzio di bonifica Bacchiglione</v>
      </c>
      <c r="I434" t="str">
        <f>"92223390284"</f>
        <v>92223390284</v>
      </c>
      <c r="J434" t="str">
        <f>"23-AFFIDAMENTO DIRETTO"</f>
        <v>23-AFFIDAMENTO DIRETTO</v>
      </c>
      <c r="K434" t="str">
        <f>"07/12/2021"</f>
        <v>07/12/2021</v>
      </c>
      <c r="L434" t="str">
        <f>"05/12/2021"</f>
        <v>05/12/2021</v>
      </c>
      <c r="M434" t="str">
        <f>""</f>
        <v/>
      </c>
      <c r="N434" t="str">
        <f>"Officina Biesse S.n.c. Via Matteotti 24 35020 Arzergrande PD | RT SRL Via dell'Artigianato 11 44027 Fiscaglia loc. Migliaro FE | Convento Claudio Via III^ Strada 3 Z.A. 30010 Campolongo Maggiore VE"</f>
        <v>Officina Biesse S.n.c. Via Matteotti 24 35020 Arzergrande PD | RT SRL Via dell'Artigianato 11 44027 Fiscaglia loc. Migliaro FE | Convento Claudio Via III^ Strada 3 Z.A. 30010 Campolongo Maggiore VE</v>
      </c>
      <c r="O434" t="str">
        <f>"Officina Biesse S.n.c. Via Matteotti 24 35020 Arzergrande PD"</f>
        <v>Officina Biesse S.n.c. Via Matteotti 24 35020 Arzergrande PD</v>
      </c>
      <c r="P434" t="str">
        <f>"Z971C6B89D: [8700.00€ ]"</f>
        <v>Z971C6B89D: [8700.00€ ]</v>
      </c>
      <c r="Q434" t="str">
        <f>""</f>
        <v/>
      </c>
      <c r="R434" t="str">
        <f>""</f>
        <v/>
      </c>
      <c r="S434" t="str">
        <f>""</f>
        <v/>
      </c>
      <c r="T434" t="str">
        <f>"https://portaletrasparenza.consorziobacchiglione.it/dettagli/attodigara/985/installazione-giunti-di-compensatori-presso-idrovora-baldon.html"</f>
        <v>https://portaletrasparenza.consorziobacchiglione.it/dettagli/attodigara/985/installazione-giunti-di-compensatori-presso-idrovora-baldon.html</v>
      </c>
      <c r="U434" t="str">
        <f>""</f>
        <v/>
      </c>
      <c r="V4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35" spans="1:22" x14ac:dyDescent="0.3">
      <c r="A435" t="str">
        <f>"Affidamento"</f>
        <v>Affidamento</v>
      </c>
      <c r="B435" t="str">
        <f>"Lavori di fornitura e posa in opera n 1 sgrigliatore oleodinamico in stazione fissa per la pulizia griglia vasca pompe n 3 e n 4 dell'Idrovora Lova."</f>
        <v>Lavori di fornitura e posa in opera n 1 sgrigliatore oleodinamico in stazione fissa per la pulizia griglia vasca pompe n 3 e n 4 dell'Idrovora Lova.</v>
      </c>
      <c r="C435" t="str">
        <f>"Z2F1C67171"</f>
        <v>Z2F1C67171</v>
      </c>
      <c r="D435" t="str">
        <f>"04/11/2021"</f>
        <v>04/11/2021</v>
      </c>
      <c r="E435" t="str">
        <f>""</f>
        <v/>
      </c>
      <c r="F435" t="str">
        <f>""</f>
        <v/>
      </c>
      <c r="G435" t="str">
        <f>"36890.00"</f>
        <v>36890.00</v>
      </c>
      <c r="H435" t="str">
        <f>"Consorzio di bonifica Bacchiglione"</f>
        <v>Consorzio di bonifica Bacchiglione</v>
      </c>
      <c r="I435" t="str">
        <f>"92223390284"</f>
        <v>92223390284</v>
      </c>
      <c r="J435" t="str">
        <f>"23-AFFIDAMENTO DIRETTO"</f>
        <v>23-AFFIDAMENTO DIRETTO</v>
      </c>
      <c r="K435" t="str">
        <f>"07/12/2021"</f>
        <v>07/12/2021</v>
      </c>
      <c r="L435" t="str">
        <f>"30/04/2021"</f>
        <v>30/04/2021</v>
      </c>
      <c r="M435" t="str">
        <f>""</f>
        <v/>
      </c>
      <c r="N435" t="str">
        <f>"Twincad S.R.L. Via Don Milani 1 45100 Rovigo | API S.p.A. Via Brodolini 5A 20089 Rozzano MI | Scae S.r.l. Via Mattei 7b 36031 Dueville VI"</f>
        <v>Twincad S.R.L. Via Don Milani 1 45100 Rovigo | API S.p.A. Via Brodolini 5A 20089 Rozzano MI | Scae S.r.l. Via Mattei 7b 36031 Dueville VI</v>
      </c>
      <c r="O435" t="str">
        <f>"Twincad S.R.L. Via Don Milani 1 45100 Rovigo"</f>
        <v>Twincad S.R.L. Via Don Milani 1 45100 Rovigo</v>
      </c>
      <c r="P435" t="str">
        <f>"Z2F1C67171: [36890.00€ ]"</f>
        <v>Z2F1C67171: [36890.00€ ]</v>
      </c>
      <c r="Q435" t="str">
        <f>""</f>
        <v/>
      </c>
      <c r="R435" t="str">
        <f>""</f>
        <v/>
      </c>
      <c r="S435" t="str">
        <f>""</f>
        <v/>
      </c>
      <c r="T435" t="str">
        <f>"https://portaletrasparenza.consorziobacchiglione.it/dettagli/attodigara/984/lavori-di-fornitura-e-posa-in-opera-n-1-sgrigliatore-oleodinamico-in-stazione-fissa-per-la-pulizia-griglia-vasca-pompe-n-3-e-n-4-dell-idrovora-lova.html"</f>
        <v>https://portaletrasparenza.consorziobacchiglione.it/dettagli/attodigara/984/lavori-di-fornitura-e-posa-in-opera-n-1-sgrigliatore-oleodinamico-in-stazione-fissa-per-la-pulizia-griglia-vasca-pompe-n-3-e-n-4-dell-idrovora-lova.html</v>
      </c>
      <c r="U435" t="str">
        <f>""</f>
        <v/>
      </c>
      <c r="V4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36" spans="1:22" x14ac:dyDescent="0.3">
      <c r="A436" t="str">
        <f>"Affidamento"</f>
        <v>Affidamento</v>
      </c>
      <c r="B436" t="str">
        <f>"Lavori di fornitura e posa in opera n 1 sgrigliatore oleodinamico in stazione fissa per la pulizia griglia vasca pompe n1 e n 2 dell'Idrovora Lova."</f>
        <v>Lavori di fornitura e posa in opera n 1 sgrigliatore oleodinamico in stazione fissa per la pulizia griglia vasca pompe n1 e n 2 dell'Idrovora Lova.</v>
      </c>
      <c r="C436" t="str">
        <f>"Z531C6705C"</f>
        <v>Z531C6705C</v>
      </c>
      <c r="D436" t="str">
        <f>"04/11/2021"</f>
        <v>04/11/2021</v>
      </c>
      <c r="E436" t="str">
        <f>""</f>
        <v/>
      </c>
      <c r="F436" t="str">
        <f>""</f>
        <v/>
      </c>
      <c r="G436" t="str">
        <f>"36890.00"</f>
        <v>36890.00</v>
      </c>
      <c r="H436" t="str">
        <f>"Consorzio di bonifica Bacchiglione"</f>
        <v>Consorzio di bonifica Bacchiglione</v>
      </c>
      <c r="I436" t="str">
        <f>"92223390284"</f>
        <v>92223390284</v>
      </c>
      <c r="J436" t="str">
        <f>"23-AFFIDAMENTO DIRETTO"</f>
        <v>23-AFFIDAMENTO DIRETTO</v>
      </c>
      <c r="K436" t="str">
        <f>"07/12/2021"</f>
        <v>07/12/2021</v>
      </c>
      <c r="L436" t="str">
        <f>"30/04/2021"</f>
        <v>30/04/2021</v>
      </c>
      <c r="M436" t="str">
        <f>""</f>
        <v/>
      </c>
      <c r="N436" t="str">
        <f>"Twincad S.R.L. Via Don Milani 1 45100 Rovigo | API S.p.A. Via Brodolini 5A 20089 Rozzano MI | Scae S.r.l. Via Mattei 7b 36031 Dueville VI"</f>
        <v>Twincad S.R.L. Via Don Milani 1 45100 Rovigo | API S.p.A. Via Brodolini 5A 20089 Rozzano MI | Scae S.r.l. Via Mattei 7b 36031 Dueville VI</v>
      </c>
      <c r="O436" t="str">
        <f>"Twincad S.R.L. Via Don Milani 1 45100 Rovigo"</f>
        <v>Twincad S.R.L. Via Don Milani 1 45100 Rovigo</v>
      </c>
      <c r="P436" t="str">
        <f>"Z531C6705C: [36890.00€ ]"</f>
        <v>Z531C6705C: [36890.00€ ]</v>
      </c>
      <c r="Q436" t="str">
        <f>""</f>
        <v/>
      </c>
      <c r="R436" t="str">
        <f>""</f>
        <v/>
      </c>
      <c r="S436" t="str">
        <f>""</f>
        <v/>
      </c>
      <c r="T436" t="str">
        <f>"https://portaletrasparenza.consorziobacchiglione.it/dettagli/attodigara/983/lavori-di-fornitura-e-posa-in-opera-n-1-sgrigliatore-oleodinamico-in-stazione-fissa-per-la-pulizia-griglia-vasca-pompe-n1-e-n-2-dell-idrovora-lova.html"</f>
        <v>https://portaletrasparenza.consorziobacchiglione.it/dettagli/attodigara/983/lavori-di-fornitura-e-posa-in-opera-n-1-sgrigliatore-oleodinamico-in-stazione-fissa-per-la-pulizia-griglia-vasca-pompe-n1-e-n-2-dell-idrovora-lova.html</v>
      </c>
      <c r="U436" t="str">
        <f>""</f>
        <v/>
      </c>
      <c r="V4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37" spans="1:22" x14ac:dyDescent="0.3">
      <c r="A437" t="str">
        <f>"Affidamento"</f>
        <v>Affidamento</v>
      </c>
      <c r="B437" t="str">
        <f>"Service tecnico per la redazione del Progetto Definitivo ed Elaborati Ambientali e redazione Progetto Esecutivo - Processo ID 013-14."</f>
        <v>Service tecnico per la redazione del Progetto Definitivo ed Elaborati Ambientali e redazione Progetto Esecutivo - Processo ID 013-14.</v>
      </c>
      <c r="C437" t="str">
        <f>"Z691C68113"</f>
        <v>Z691C68113</v>
      </c>
      <c r="D437" t="str">
        <f>"04/11/2021"</f>
        <v>04/11/2021</v>
      </c>
      <c r="E437" t="str">
        <f>""</f>
        <v/>
      </c>
      <c r="F437" t="str">
        <f>""</f>
        <v/>
      </c>
      <c r="G437" t="str">
        <f>"10088.00"</f>
        <v>10088.00</v>
      </c>
      <c r="H437" t="str">
        <f>"Consorzio di bonifica Bacchiglione"</f>
        <v>Consorzio di bonifica Bacchiglione</v>
      </c>
      <c r="I437" t="str">
        <f>"92223390284"</f>
        <v>92223390284</v>
      </c>
      <c r="J437" t="str">
        <f>"23-AFFIDAMENTO DIRETTO"</f>
        <v>23-AFFIDAMENTO DIRETTO</v>
      </c>
      <c r="K437" t="str">
        <f>"07/12/2021"</f>
        <v>07/12/2021</v>
      </c>
      <c r="L437" t="str">
        <f>"22/09/2021"</f>
        <v>22/09/2021</v>
      </c>
      <c r="M437" t="str">
        <f>""</f>
        <v/>
      </c>
      <c r="N437" t="str">
        <f>"IDEVA Ingegneria"</f>
        <v>IDEVA Ingegneria</v>
      </c>
      <c r="O437" t="str">
        <f>"IDEVA Ingegneria"</f>
        <v>IDEVA Ingegneria</v>
      </c>
      <c r="P437" t="str">
        <f>"Z691C68113: [10088.00€ ]"</f>
        <v>Z691C68113: [10088.00€ ]</v>
      </c>
      <c r="Q437" t="str">
        <f>""</f>
        <v/>
      </c>
      <c r="R437" t="str">
        <f>""</f>
        <v/>
      </c>
      <c r="S437" t="str">
        <f>""</f>
        <v/>
      </c>
      <c r="T437" t="str">
        <f>"https://portaletrasparenza.consorziobacchiglione.it/dettagli/attodigara/981/service-tecnico-per-la-redazione-del-progetto-definitivo-ed-elaborati-ambientali-e-redazione-progetto-esecutivo-processo-id-013-14.html"</f>
        <v>https://portaletrasparenza.consorziobacchiglione.it/dettagli/attodigara/981/service-tecnico-per-la-redazione-del-progetto-definitivo-ed-elaborati-ambientali-e-redazione-progetto-esecutivo-processo-id-013-14.html</v>
      </c>
      <c r="U437" t="str">
        <f>""</f>
        <v/>
      </c>
      <c r="V43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38" spans="1:22" x14ac:dyDescent="0.3">
      <c r="A438" t="str">
        <f>"Affidamento"</f>
        <v>Affidamento</v>
      </c>
      <c r="B438" t="str">
        <f>"STAMPANTE MULTIFUNZIONE CANON ADVANCE 400I PER UFFICIO CATASTO - CANONE DI LOCAZIONE"</f>
        <v>STAMPANTE MULTIFUNZIONE CANON ADVANCE 400I PER UFFICIO CATASTO - CANONE DI LOCAZIONE</v>
      </c>
      <c r="C438" t="str">
        <f>"Z851C7653A"</f>
        <v>Z851C7653A</v>
      </c>
      <c r="D438" t="str">
        <f>"04/11/2021"</f>
        <v>04/11/2021</v>
      </c>
      <c r="E438" t="str">
        <f>""</f>
        <v/>
      </c>
      <c r="F438" t="str">
        <f>""</f>
        <v/>
      </c>
      <c r="G438" t="str">
        <f>"2100.00"</f>
        <v>2100.00</v>
      </c>
      <c r="H438" t="str">
        <f>"Consorzio di bonifica Bacchiglione"</f>
        <v>Consorzio di bonifica Bacchiglione</v>
      </c>
      <c r="I438" t="str">
        <f>"92223390284"</f>
        <v>92223390284</v>
      </c>
      <c r="J438" t="str">
        <f>"23-AFFIDAMENTO DIRETTO"</f>
        <v>23-AFFIDAMENTO DIRETTO</v>
      </c>
      <c r="K438" t="str">
        <f>"07/12/2021"</f>
        <v>07/12/2021</v>
      </c>
      <c r="L438" t="str">
        <f>"04/01/2021"</f>
        <v>04/01/2021</v>
      </c>
      <c r="M438" t="str">
        <f>""</f>
        <v/>
      </c>
      <c r="N438" t="str">
        <f>"FR S.N.C."</f>
        <v>FR S.N.C.</v>
      </c>
      <c r="O438" t="str">
        <f>"FR S.N.C."</f>
        <v>FR S.N.C.</v>
      </c>
      <c r="P438" t="str">
        <f>"Z851C7653A: [2099.99€ ]"</f>
        <v>Z851C7653A: [2099.99€ ]</v>
      </c>
      <c r="Q438" t="str">
        <f>""</f>
        <v/>
      </c>
      <c r="R438" t="str">
        <f>""</f>
        <v/>
      </c>
      <c r="S438" t="str">
        <f>""</f>
        <v/>
      </c>
      <c r="T438" t="str">
        <f>"https://portaletrasparenza.consorziobacchiglione.it/dettagli/attodigara/982/stampante-multifunzione-canon-advance-400i-per-ufficio-catasto-canone-di-locazione.html"</f>
        <v>https://portaletrasparenza.consorziobacchiglione.it/dettagli/attodigara/982/stampante-multifunzione-canon-advance-400i-per-ufficio-catasto-canone-di-locazione.html</v>
      </c>
      <c r="U438" t="str">
        <f>""</f>
        <v/>
      </c>
      <c r="V438">
        <f>(SUBSTITUTE(Tabella1[[#This Row],[Importo di aggiudicazione]],".",","))-(SUBSTITUTE(  SUBSTITUTE(          SUBSTITUTE(Tabella1[[#This Row],[Dettaglio somme liquidate]],Tabella1[[#This Row],[CIG]]&amp;": [",""),"€ ]",""),".",","))</f>
        <v>1.0000000000218279E-2</v>
      </c>
    </row>
    <row r="439" spans="1:22" x14ac:dyDescent="0.3">
      <c r="A439" t="str">
        <f>"Affidamento"</f>
        <v>Affidamento</v>
      </c>
      <c r="B439" t="str">
        <f>"Sostituzione n.2 prolunghe e bilanciatura su mezzo targato: DN881SC"</f>
        <v>Sostituzione n.2 prolunghe e bilanciatura su mezzo targato: DN881SC</v>
      </c>
      <c r="C439" t="str">
        <f>"Z0434494DE"</f>
        <v>Z0434494DE</v>
      </c>
      <c r="D439" t="str">
        <f>"07/12/2021"</f>
        <v>07/12/2021</v>
      </c>
      <c r="E439" t="str">
        <f>""</f>
        <v/>
      </c>
      <c r="F439" t="str">
        <f>""</f>
        <v/>
      </c>
      <c r="G439" t="str">
        <f>"58.00"</f>
        <v>58.00</v>
      </c>
      <c r="H439" t="str">
        <f>"Consorzio di bonifica Bacchiglione"</f>
        <v>Consorzio di bonifica Bacchiglione</v>
      </c>
      <c r="I439" t="str">
        <f>"92223390284"</f>
        <v>92223390284</v>
      </c>
      <c r="J439" t="str">
        <f>"23-AFFIDAMENTO DIRETTO"</f>
        <v>23-AFFIDAMENTO DIRETTO</v>
      </c>
      <c r="K439" t="str">
        <f>"07/12/2021"</f>
        <v>07/12/2021</v>
      </c>
      <c r="L439" t="str">
        <f>"24/12/2021"</f>
        <v>24/12/2021</v>
      </c>
      <c r="M439" t="str">
        <f>""</f>
        <v/>
      </c>
      <c r="N439" t="str">
        <f>"Ri.gom.ma S.R.L. Via Orlando, 47 - 30173 Campalto (VE)"</f>
        <v>Ri.gom.ma S.R.L. Via Orlando, 47 - 30173 Campalto (VE)</v>
      </c>
      <c r="O439" t="str">
        <f>"Ri.gom.ma S.R.L. Via Orlando, 47 - 30173 Campalto (VE)"</f>
        <v>Ri.gom.ma S.R.L. Via Orlando, 47 - 30173 Campalto (VE)</v>
      </c>
      <c r="P439" t="s">
        <v>329</v>
      </c>
      <c r="Q439" t="str">
        <f>""</f>
        <v/>
      </c>
      <c r="R439" t="str">
        <f>""</f>
        <v/>
      </c>
      <c r="S439" t="str">
        <f>""</f>
        <v/>
      </c>
      <c r="T439" t="str">
        <f>"https://portaletrasparenza.consorziobacchiglione.it/dettagli/attodigara/7345/sostituzione-n-2-prolunghe-e-bilanciatura-su-mezzo-targato-dn881sc.html"</f>
        <v>https://portaletrasparenza.consorziobacchiglione.it/dettagli/attodigara/7345/sostituzione-n-2-prolunghe-e-bilanciatura-su-mezzo-targato-dn881sc.html</v>
      </c>
      <c r="U439" t="str">
        <f>"https://portaletrasparenza.consorziobacchiglione.it/download/attodigara/7345/63ac45f88722b.PDF"</f>
        <v>https://portaletrasparenza.consorziobacchiglione.it/download/attodigara/7345/63ac45f88722b.PDF</v>
      </c>
      <c r="V4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40" spans="1:22" x14ac:dyDescent="0.3">
      <c r="A440" t="str">
        <f>"Affidamento"</f>
        <v>Affidamento</v>
      </c>
      <c r="B440" t="str">
        <f>"Intervento di disalimentazione connessione MT utenza idrovora Baldon, POD IT001E32445231, per lavori di manutenzione cabina MT."</f>
        <v>Intervento di disalimentazione connessione MT utenza idrovora Baldon, POD IT001E32445231, per lavori di manutenzione cabina MT.</v>
      </c>
      <c r="C440" t="str">
        <f>"ZA43447C57"</f>
        <v>ZA43447C57</v>
      </c>
      <c r="D440" t="str">
        <f>"13/12/2021"</f>
        <v>13/12/2021</v>
      </c>
      <c r="E440" t="str">
        <f>""</f>
        <v/>
      </c>
      <c r="F440" t="str">
        <f>""</f>
        <v/>
      </c>
      <c r="G440" t="str">
        <f>"363.00"</f>
        <v>363.00</v>
      </c>
      <c r="H440" t="str">
        <f>"Consorzio di bonifica Bacchiglione"</f>
        <v>Consorzio di bonifica Bacchiglione</v>
      </c>
      <c r="I440" t="str">
        <f>"92223390284"</f>
        <v>92223390284</v>
      </c>
      <c r="J440" t="str">
        <f>"23-AFFIDAMENTO DIRETTO"</f>
        <v>23-AFFIDAMENTO DIRETTO</v>
      </c>
      <c r="K440" t="str">
        <f>"07/12/2021"</f>
        <v>07/12/2021</v>
      </c>
      <c r="L440" t="str">
        <f>"10/02/2022"</f>
        <v>10/02/2022</v>
      </c>
      <c r="M440" t="str">
        <f>""</f>
        <v/>
      </c>
      <c r="N440" t="str">
        <f>"e-distribuzione S.p.A. Via Ombrone, 2 - 00198 Roma"</f>
        <v>e-distribuzione S.p.A. Via Ombrone, 2 - 00198 Roma</v>
      </c>
      <c r="O440" t="str">
        <f>"e-distribuzione S.p.A. Via Ombrone, 2 - 00198 Roma"</f>
        <v>e-distribuzione S.p.A. Via Ombrone, 2 - 00198 Roma</v>
      </c>
      <c r="P440" t="str">
        <f>"ZA43447C57: [363.00€ ]"</f>
        <v>ZA43447C57: [363.00€ ]</v>
      </c>
      <c r="Q440" t="str">
        <f>""</f>
        <v/>
      </c>
      <c r="R440" t="str">
        <f>""</f>
        <v/>
      </c>
      <c r="S440" t="str">
        <f>""</f>
        <v/>
      </c>
      <c r="T440" t="str">
        <f>"https://portaletrasparenza.consorziobacchiglione.it/dettagli/attodigara/7344/intervento-di-disalimentazione-connessione-mt-utenza-idrovora-baldon-pod-it001e32445231-per-lavori-di-manutenzione-cabina-mt.html"</f>
        <v>https://portaletrasparenza.consorziobacchiglione.it/dettagli/attodigara/7344/intervento-di-disalimentazione-connessione-mt-utenza-idrovora-baldon-pod-it001e32445231-per-lavori-di-manutenzione-cabina-mt.html</v>
      </c>
      <c r="U440" t="str">
        <f>"https://portaletrasparenza.consorziobacchiglione.it/download/attodigara/7344/63ac45f904d18.PDF"</f>
        <v>https://portaletrasparenza.consorziobacchiglione.it/download/attodigara/7344/63ac45f904d18.PDF</v>
      </c>
      <c r="V4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41" spans="1:22" x14ac:dyDescent="0.3">
      <c r="A441" t="str">
        <f>"Affidamento"</f>
        <v>Affidamento</v>
      </c>
      <c r="B441" t="str">
        <f>"Manutenzione e riparazione mezzi con targa: PDAH661, AJP870."</f>
        <v>Manutenzione e riparazione mezzi con targa: PDAH661, AJP870.</v>
      </c>
      <c r="C441" t="str">
        <f>"ZCB17ED67C"</f>
        <v>ZCB17ED67C</v>
      </c>
      <c r="D441" t="str">
        <f>"04/11/2021"</f>
        <v>04/11/2021</v>
      </c>
      <c r="E441" t="str">
        <f>""</f>
        <v/>
      </c>
      <c r="F441" t="str">
        <f>""</f>
        <v/>
      </c>
      <c r="G441" t="str">
        <f>"617.58"</f>
        <v>617.58</v>
      </c>
      <c r="H441" t="str">
        <f>"Consorzio di bonifica Bacchiglione"</f>
        <v>Consorzio di bonifica Bacchiglione</v>
      </c>
      <c r="I441" t="str">
        <f>"92223390284"</f>
        <v>92223390284</v>
      </c>
      <c r="J441" t="str">
        <f>"23-AFFIDAMENTO DIRETTO"</f>
        <v>23-AFFIDAMENTO DIRETTO</v>
      </c>
      <c r="K441" t="str">
        <f>"08/01/2021"</f>
        <v>08/01/2021</v>
      </c>
      <c r="L441" t="str">
        <f>"07/04/2021"</f>
        <v>07/04/2021</v>
      </c>
      <c r="M441" t="str">
        <f>""</f>
        <v/>
      </c>
      <c r="N441" t="str">
        <f>"Officina Biesse S.n.c. Via Matteotti 24 35020 Arzergrande PD"</f>
        <v>Officina Biesse S.n.c. Via Matteotti 24 35020 Arzergrande PD</v>
      </c>
      <c r="O441" t="str">
        <f>"Officina Biesse S.n.c. Via Matteotti 24 35020 Arzergrande PD"</f>
        <v>Officina Biesse S.n.c. Via Matteotti 24 35020 Arzergrande PD</v>
      </c>
      <c r="P441" t="str">
        <f>"ZCB17ED67C: [617.58€ ]"</f>
        <v>ZCB17ED67C: [617.58€ ]</v>
      </c>
      <c r="Q441" t="str">
        <f>""</f>
        <v/>
      </c>
      <c r="R441" t="str">
        <f>""</f>
        <v/>
      </c>
      <c r="S441" t="str">
        <f>""</f>
        <v/>
      </c>
      <c r="T441" t="str">
        <f>"https://portaletrasparenza.consorziobacchiglione.it/dettagli/attodigara/33/manutenzione-e-riparazione-mezzi-con-targa-pdah661-ajp870.html"</f>
        <v>https://portaletrasparenza.consorziobacchiglione.it/dettagli/attodigara/33/manutenzione-e-riparazione-mezzi-con-targa-pdah661-ajp870.html</v>
      </c>
      <c r="U441" t="str">
        <f>""</f>
        <v/>
      </c>
      <c r="V44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42" spans="1:22" x14ac:dyDescent="0.3">
      <c r="A442" t="str">
        <f>"Affidamento"</f>
        <v>Affidamento</v>
      </c>
      <c r="B442" t="str">
        <f>"Manutenzione e riparazione mezzo con targa: PDAH157"</f>
        <v>Manutenzione e riparazione mezzo con targa: PDAH157</v>
      </c>
      <c r="C442" t="str">
        <f>"Z6317EC733"</f>
        <v>Z6317EC733</v>
      </c>
      <c r="D442" t="str">
        <f>"04/11/2021"</f>
        <v>04/11/2021</v>
      </c>
      <c r="E442" t="str">
        <f>""</f>
        <v/>
      </c>
      <c r="F442" t="str">
        <f>""</f>
        <v/>
      </c>
      <c r="G442" t="str">
        <f>"5342.47"</f>
        <v>5342.47</v>
      </c>
      <c r="H442" t="str">
        <f>"Consorzio di bonifica Bacchiglione"</f>
        <v>Consorzio di bonifica Bacchiglione</v>
      </c>
      <c r="I442" t="str">
        <f>"92223390284"</f>
        <v>92223390284</v>
      </c>
      <c r="J442" t="str">
        <f>"23-AFFIDAMENTO DIRETTO"</f>
        <v>23-AFFIDAMENTO DIRETTO</v>
      </c>
      <c r="K442" t="str">
        <f>"08/01/2021"</f>
        <v>08/01/2021</v>
      </c>
      <c r="L442" t="str">
        <f>"26/04/2021"</f>
        <v>26/04/2021</v>
      </c>
      <c r="M442" t="str">
        <f>""</f>
        <v/>
      </c>
      <c r="N442" t="str">
        <f>"Adriatica Commerciale Macchine s.r.l. Via dell'Artigianato 5 35020 Due Carrare PD"</f>
        <v>Adriatica Commerciale Macchine s.r.l. Via dell'Artigianato 5 35020 Due Carrare PD</v>
      </c>
      <c r="O442" t="str">
        <f>"Adriatica Commerciale Macchine s.r.l. Via dell'Artigianato 5 35020 Due Carrare PD"</f>
        <v>Adriatica Commerciale Macchine s.r.l. Via dell'Artigianato 5 35020 Due Carrare PD</v>
      </c>
      <c r="P442" t="str">
        <f>"Z6317EC733: [5342.47€ ]"</f>
        <v>Z6317EC733: [5342.47€ ]</v>
      </c>
      <c r="Q442" t="str">
        <f>""</f>
        <v/>
      </c>
      <c r="R442" t="str">
        <f>""</f>
        <v/>
      </c>
      <c r="S442" t="str">
        <f>""</f>
        <v/>
      </c>
      <c r="T442" t="str">
        <f>"https://portaletrasparenza.consorziobacchiglione.it/dettagli/attodigara/32/manutenzione-e-riparazione-mezzo-con-targa-pdah157.html"</f>
        <v>https://portaletrasparenza.consorziobacchiglione.it/dettagli/attodigara/32/manutenzione-e-riparazione-mezzo-con-targa-pdah157.html</v>
      </c>
      <c r="U442" t="str">
        <f>""</f>
        <v/>
      </c>
      <c r="V4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43" spans="1:22" x14ac:dyDescent="0.3">
      <c r="A443" t="str">
        <f>"Affidamento"</f>
        <v>Affidamento</v>
      </c>
      <c r="B443" t="str">
        <f>"Ripresa spondale in DX idraulica dello scolo Schilla, a valle del ponte della SP59 in comune di Codevigo"</f>
        <v>Ripresa spondale in DX idraulica dello scolo Schilla, a valle del ponte della SP59 in comune di Codevigo</v>
      </c>
      <c r="C443" t="str">
        <f>"Z00301D333"</f>
        <v>Z00301D333</v>
      </c>
      <c r="D443" t="str">
        <f>"08/01/2021"</f>
        <v>08/01/2021</v>
      </c>
      <c r="E443" t="str">
        <f>""</f>
        <v/>
      </c>
      <c r="F443" t="str">
        <f>""</f>
        <v/>
      </c>
      <c r="G443" t="str">
        <f>"34008.99"</f>
        <v>34008.99</v>
      </c>
      <c r="H443" t="str">
        <f>"Consorzio di bonifica Bacchiglione"</f>
        <v>Consorzio di bonifica Bacchiglione</v>
      </c>
      <c r="I443" t="str">
        <f>"92223390284"</f>
        <v>92223390284</v>
      </c>
      <c r="J443" t="str">
        <f>"23-AFFIDAMENTO DIRETTO"</f>
        <v>23-AFFIDAMENTO DIRETTO</v>
      </c>
      <c r="K443" t="str">
        <f>"08/01/2021"</f>
        <v>08/01/2021</v>
      </c>
      <c r="L443" t="str">
        <f>"05/05/2021"</f>
        <v>05/05/2021</v>
      </c>
      <c r="M443" t="str">
        <f>""</f>
        <v/>
      </c>
      <c r="N443" t="str">
        <f>"Rossetto Bruno e Renato Snc Via XXV Aprile 22B 30010 Bojon di Campolongo Maggiore VE | Simionato Luigino Via Solferino 22 30038 Spinea VE | Marin Danilo Via XXV Aprile 82 - 30034 Mira (VE)"</f>
        <v>Rossetto Bruno e Renato Snc Via XXV Aprile 22B 30010 Bojon di Campolongo Maggiore VE | Simionato Luigino Via Solferino 22 30038 Spinea VE | Marin Danilo Via XXV Aprile 82 - 30034 Mira (VE)</v>
      </c>
      <c r="O443" t="str">
        <f>"Simionato Luigino Via Solferino 22 30038 Spinea VE"</f>
        <v>Simionato Luigino Via Solferino 22 30038 Spinea VE</v>
      </c>
      <c r="P443" t="str">
        <f>"Z00301D333: [34008.99€ ]"</f>
        <v>Z00301D333: [34008.99€ ]</v>
      </c>
      <c r="Q443" t="str">
        <f>""</f>
        <v/>
      </c>
      <c r="R443" t="str">
        <f>""</f>
        <v/>
      </c>
      <c r="S443" t="str">
        <f>""</f>
        <v/>
      </c>
      <c r="T443" t="str">
        <f>"https://portaletrasparenza.consorziobacchiglione.it/dettagli/attodigara/6534/ripresa-spondale-in-dx-idraulica-dello-scolo-schilla-a-valle-del-ponte-della-sp59-in-comune-di-codevigo.html"</f>
        <v>https://portaletrasparenza.consorziobacchiglione.it/dettagli/attodigara/6534/ripresa-spondale-in-dx-idraulica-dello-scolo-schilla-a-valle-del-ponte-della-sp59-in-comune-di-codevigo.html</v>
      </c>
      <c r="U443" t="str">
        <f>"https://portaletrasparenza.consorziobacchiglione.it/download/attodigara/6534/63ac45450ab7e.PDF"</f>
        <v>https://portaletrasparenza.consorziobacchiglione.it/download/attodigara/6534/63ac45450ab7e.PDF</v>
      </c>
      <c r="V44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44" spans="1:22" x14ac:dyDescent="0.3">
      <c r="A444" t="str">
        <f>"Affidamento"</f>
        <v>Affidamento</v>
      </c>
      <c r="B444" t="str">
        <f>"Rifacimento impermeabilizzazione copertura e grondaie, ripristino intonaci esterni e tinteggiatura esterna dell'impianto Idrovoro Vallesella, più ripristino intonaci esterni e tinteggiatura esterna ed interna dell'impian"</f>
        <v>Rifacimento impermeabilizzazione copertura e grondaie, ripristino intonaci esterni e tinteggiatura esterna dell'impianto Idrovoro Vallesella, più ripristino intonaci esterni e tinteggiatura esterna ed interna dell'impian</v>
      </c>
      <c r="C444" t="str">
        <f>"Z61301CEF3"</f>
        <v>Z61301CEF3</v>
      </c>
      <c r="D444" t="str">
        <f>"08/01/2021"</f>
        <v>08/01/2021</v>
      </c>
      <c r="E444" t="str">
        <f>""</f>
        <v/>
      </c>
      <c r="F444" t="str">
        <f>""</f>
        <v/>
      </c>
      <c r="G444" t="str">
        <f>"31885.14"</f>
        <v>31885.14</v>
      </c>
      <c r="H444" t="str">
        <f>"Consorzio di bonifica Bacchiglione"</f>
        <v>Consorzio di bonifica Bacchiglione</v>
      </c>
      <c r="I444" t="str">
        <f>"92223390284"</f>
        <v>92223390284</v>
      </c>
      <c r="J444" t="str">
        <f>"23-AFFIDAMENTO DIRETTO"</f>
        <v>23-AFFIDAMENTO DIRETTO</v>
      </c>
      <c r="K444" t="str">
        <f>"08/01/2021"</f>
        <v>08/01/2021</v>
      </c>
      <c r="L444" t="str">
        <f>"02/07/2021"</f>
        <v>02/07/2021</v>
      </c>
      <c r="M444" t="str">
        <f>""</f>
        <v/>
      </c>
      <c r="N444" t="str">
        <f>"Edil Costruzioni Via Andrea Palladio 16 int. 5 35030 Veggiano PD | Edil Prestige S.r.l.s. Via Aquilei 40 35035 Mestrino PD | Map Costruzioni srls Via Piave, 24 - 35010 Codiverno di Vigonza (PD)"</f>
        <v>Edil Costruzioni Via Andrea Palladio 16 int. 5 35030 Veggiano PD | Edil Prestige S.r.l.s. Via Aquilei 40 35035 Mestrino PD | Map Costruzioni srls Via Piave, 24 - 35010 Codiverno di Vigonza (PD)</v>
      </c>
      <c r="O444" t="str">
        <f>"Edil Prestige S.r.l.s. Via Aquilei 40 35035 Mestrino PD"</f>
        <v>Edil Prestige S.r.l.s. Via Aquilei 40 35035 Mestrino PD</v>
      </c>
      <c r="P444" t="str">
        <f>"Z61301CEF3: [31885.14€ ]"</f>
        <v>Z61301CEF3: [31885.14€ ]</v>
      </c>
      <c r="Q444" t="str">
        <f>""</f>
        <v/>
      </c>
      <c r="R444" t="str">
        <f>""</f>
        <v/>
      </c>
      <c r="S444" t="str">
        <f>""</f>
        <v/>
      </c>
      <c r="T444" t="s">
        <v>122</v>
      </c>
      <c r="U444" t="str">
        <f>"https://portaletrasparenza.consorziobacchiglione.it/download/attodigara/6533/63ac45445606f.PDF"</f>
        <v>https://portaletrasparenza.consorziobacchiglione.it/download/attodigara/6533/63ac45445606f.PDF</v>
      </c>
      <c r="V44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45" spans="1:22" x14ac:dyDescent="0.3">
      <c r="A445" t="str">
        <f>"Affidamento"</f>
        <v>Affidamento</v>
      </c>
      <c r="B445" t="str">
        <f>"Ripresa spondale in DX e SX idraulica dello scolo Menona Alta, più ripresa spondale in DX e SX idraulica dello scolo Fossalunga"</f>
        <v>Ripresa spondale in DX e SX idraulica dello scolo Menona Alta, più ripresa spondale in DX e SX idraulica dello scolo Fossalunga</v>
      </c>
      <c r="C445" t="str">
        <f>"ZCA301C30D"</f>
        <v>ZCA301C30D</v>
      </c>
      <c r="D445" t="str">
        <f>"08/01/2021"</f>
        <v>08/01/2021</v>
      </c>
      <c r="E445" t="str">
        <f>""</f>
        <v/>
      </c>
      <c r="F445" t="str">
        <f>""</f>
        <v/>
      </c>
      <c r="G445" t="str">
        <f>"36266.23"</f>
        <v>36266.23</v>
      </c>
      <c r="H445" t="str">
        <f>"Consorzio di bonifica Bacchiglione"</f>
        <v>Consorzio di bonifica Bacchiglione</v>
      </c>
      <c r="I445" t="str">
        <f>"92223390284"</f>
        <v>92223390284</v>
      </c>
      <c r="J445" t="str">
        <f>"23-AFFIDAMENTO DIRETTO"</f>
        <v>23-AFFIDAMENTO DIRETTO</v>
      </c>
      <c r="K445" t="str">
        <f>"08/01/2021"</f>
        <v>08/01/2021</v>
      </c>
      <c r="L445" t="str">
        <f>"24/05/2021"</f>
        <v>24/05/2021</v>
      </c>
      <c r="M445" t="str">
        <f>""</f>
        <v/>
      </c>
      <c r="N445" t="str">
        <f>"Delor snc Via Argine Dx Canale Taglio 89 30034 Mira VE | Impresa Pasqual Zemiro S.R.L. Via seriola veneta sinistra 64 30034 Malcontenta VE | Natisone Lavori Viale Luigi Moretti 2 33100 Udine (UD)"</f>
        <v>Delor snc Via Argine Dx Canale Taglio 89 30034 Mira VE | Impresa Pasqual Zemiro S.R.L. Via seriola veneta sinistra 64 30034 Malcontenta VE | Natisone Lavori Viale Luigi Moretti 2 33100 Udine (UD)</v>
      </c>
      <c r="O445" t="str">
        <f>"Impresa Pasqual Zemiro S.R.L. Via seriola veneta sinistra 64 30034 Malcontenta VE"</f>
        <v>Impresa Pasqual Zemiro S.R.L. Via seriola veneta sinistra 64 30034 Malcontenta VE</v>
      </c>
      <c r="P445" t="str">
        <f>"ZCA301C30D: [35084.99€ ]"</f>
        <v>ZCA301C30D: [35084.99€ ]</v>
      </c>
      <c r="Q445" t="str">
        <f>""</f>
        <v/>
      </c>
      <c r="R445" t="str">
        <f>""</f>
        <v/>
      </c>
      <c r="S445" t="str">
        <f>""</f>
        <v/>
      </c>
      <c r="T445" t="str">
        <f>"https://portaletrasparenza.consorziobacchiglione.it/dettagli/attodigara/6532/ripresa-spondale-in-dx-e-sx-idraulica-dello-scolo-menona-alta-piu-ripresa-spondale-in-dx-e-sx-idraulica-dello-scolo-fossalunga.html"</f>
        <v>https://portaletrasparenza.consorziobacchiglione.it/dettagli/attodigara/6532/ripresa-spondale-in-dx-e-sx-idraulica-dello-scolo-menona-alta-piu-ripresa-spondale-in-dx-e-sx-idraulica-dello-scolo-fossalunga.html</v>
      </c>
      <c r="U445" t="str">
        <f>"https://portaletrasparenza.consorziobacchiglione.it/download/attodigara/6532/63ac45448e44d.PDF"</f>
        <v>https://portaletrasparenza.consorziobacchiglione.it/download/attodigara/6532/63ac45448e44d.PDF</v>
      </c>
      <c r="V445">
        <f>(SUBSTITUTE(Tabella1[[#This Row],[Importo di aggiudicazione]],".",","))-(SUBSTITUTE(  SUBSTITUTE(          SUBSTITUTE(Tabella1[[#This Row],[Dettaglio somme liquidate]],Tabella1[[#This Row],[CIG]]&amp;": [",""),"€ ]",""),".",","))</f>
        <v>1181.2400000000052</v>
      </c>
    </row>
    <row r="446" spans="1:22" x14ac:dyDescent="0.3">
      <c r="A446" t="str">
        <f>"Affidamento"</f>
        <v>Affidamento</v>
      </c>
      <c r="B446" t="str">
        <f>"Ripresa spondale in DX idraulica dello scolo Corriva, in comune di Cartura"</f>
        <v>Ripresa spondale in DX idraulica dello scolo Corriva, in comune di Cartura</v>
      </c>
      <c r="C446" t="str">
        <f>"ZF0301C08C"</f>
        <v>ZF0301C08C</v>
      </c>
      <c r="D446" t="str">
        <f>"08/01/2021"</f>
        <v>08/01/2021</v>
      </c>
      <c r="E446" t="str">
        <f>""</f>
        <v/>
      </c>
      <c r="F446" t="str">
        <f>""</f>
        <v/>
      </c>
      <c r="G446" t="str">
        <f>"29848.68"</f>
        <v>29848.68</v>
      </c>
      <c r="H446" t="str">
        <f>"Consorzio di bonifica Bacchiglione"</f>
        <v>Consorzio di bonifica Bacchiglione</v>
      </c>
      <c r="I446" t="str">
        <f>"92223390284"</f>
        <v>92223390284</v>
      </c>
      <c r="J446" t="str">
        <f>"23-AFFIDAMENTO DIRETTO"</f>
        <v>23-AFFIDAMENTO DIRETTO</v>
      </c>
      <c r="K446" t="str">
        <f>"08/01/2021"</f>
        <v>08/01/2021</v>
      </c>
      <c r="L446" t="str">
        <f>"19/03/2021"</f>
        <v>19/03/2021</v>
      </c>
      <c r="M446" t="str">
        <f>""</f>
        <v/>
      </c>
      <c r="N446" t="str">
        <f>"Martini Luciano s.r.l. Via Bagnara Alta 1172 35030 VO PD | Sif Toniolo S.r.l. Via Regazzoni Alta, 8, Galzignano Terme | Vieditalia S.r.l. Via Porara, 17, 30035, Mirano, Venezia"</f>
        <v>Martini Luciano s.r.l. Via Bagnara Alta 1172 35030 VO PD | Sif Toniolo S.r.l. Via Regazzoni Alta, 8, Galzignano Terme | Vieditalia S.r.l. Via Porara, 17, 30035, Mirano, Venezia</v>
      </c>
      <c r="O446" t="str">
        <f>"Martini Luciano s.r.l. Via Bagnara Alta 1172 35030 VO PD"</f>
        <v>Martini Luciano s.r.l. Via Bagnara Alta 1172 35030 VO PD</v>
      </c>
      <c r="P446" t="str">
        <f>"ZF0301C08C: [26872.85€ ]"</f>
        <v>ZF0301C08C: [26872.85€ ]</v>
      </c>
      <c r="Q446" t="str">
        <f>""</f>
        <v/>
      </c>
      <c r="R446" t="str">
        <f>""</f>
        <v/>
      </c>
      <c r="S446" t="str">
        <f>""</f>
        <v/>
      </c>
      <c r="T446" t="str">
        <f>"https://portaletrasparenza.consorziobacchiglione.it/dettagli/attodigara/6531/ripresa-spondale-in-dx-idraulica-dello-scolo-corriva-in-comune-di-cartura.html"</f>
        <v>https://portaletrasparenza.consorziobacchiglione.it/dettagli/attodigara/6531/ripresa-spondale-in-dx-idraulica-dello-scolo-corriva-in-comune-di-cartura.html</v>
      </c>
      <c r="U446" t="str">
        <f>"https://portaletrasparenza.consorziobacchiglione.it/download/attodigara/6531/63ac4544c6943.PDF"</f>
        <v>https://portaletrasparenza.consorziobacchiglione.it/download/attodigara/6531/63ac4544c6943.PDF</v>
      </c>
      <c r="V446">
        <f>(SUBSTITUTE(Tabella1[[#This Row],[Importo di aggiudicazione]],".",","))-(SUBSTITUTE(  SUBSTITUTE(          SUBSTITUTE(Tabella1[[#This Row],[Dettaglio somme liquidate]],Tabella1[[#This Row],[CIG]]&amp;": [",""),"€ ]",""),".",","))</f>
        <v>2975.8300000000017</v>
      </c>
    </row>
    <row r="447" spans="1:22" x14ac:dyDescent="0.3">
      <c r="A447" t="str">
        <f>"Affidamento"</f>
        <v>Affidamento</v>
      </c>
      <c r="B447" t="str">
        <f>"Fornitura n.1 Battipalo Malaguti Mod.PM401B Completo di pinza per pali in legno - sella attacco Trevi per Bacino Patiarcati"</f>
        <v>Fornitura n.1 Battipalo Malaguti Mod.PM401B Completo di pinza per pali in legno - sella attacco Trevi per Bacino Patiarcati</v>
      </c>
      <c r="C447" t="str">
        <f>"Z80301D849"</f>
        <v>Z80301D849</v>
      </c>
      <c r="D447" t="str">
        <f>"09/01/2021"</f>
        <v>09/01/2021</v>
      </c>
      <c r="E447" t="str">
        <f>""</f>
        <v/>
      </c>
      <c r="F447" t="str">
        <f>""</f>
        <v/>
      </c>
      <c r="G447" t="str">
        <f>"8500.00"</f>
        <v>8500.00</v>
      </c>
      <c r="H447" t="str">
        <f>"Consorzio di bonifica Bacchiglione"</f>
        <v>Consorzio di bonifica Bacchiglione</v>
      </c>
      <c r="I447" t="str">
        <f>"92223390284"</f>
        <v>92223390284</v>
      </c>
      <c r="J447" t="str">
        <f>"23-AFFIDAMENTO DIRETTO"</f>
        <v>23-AFFIDAMENTO DIRETTO</v>
      </c>
      <c r="K447" t="str">
        <f>"08/01/2021"</f>
        <v>08/01/2021</v>
      </c>
      <c r="L447" t="str">
        <f>"17/02/2021"</f>
        <v>17/02/2021</v>
      </c>
      <c r="M447" t="str">
        <f>""</f>
        <v/>
      </c>
      <c r="N447" t="str">
        <f>"Adriatica Commerciale Macchine s.r.l. Via dell'Artigianato 5 35020 Due Carrare PD"</f>
        <v>Adriatica Commerciale Macchine s.r.l. Via dell'Artigianato 5 35020 Due Carrare PD</v>
      </c>
      <c r="O447" t="str">
        <f>"Adriatica Commerciale Macchine s.r.l. Via dell'Artigianato 5 35020 Due Carrare PD"</f>
        <v>Adriatica Commerciale Macchine s.r.l. Via dell'Artigianato 5 35020 Due Carrare PD</v>
      </c>
      <c r="P447" t="str">
        <f>"Z80301D849: [8500.00€ ]"</f>
        <v>Z80301D849: [8500.00€ ]</v>
      </c>
      <c r="Q447" t="str">
        <f>""</f>
        <v/>
      </c>
      <c r="R447" t="str">
        <f>""</f>
        <v/>
      </c>
      <c r="S447" t="str">
        <f>""</f>
        <v/>
      </c>
      <c r="T447" t="str">
        <f>"https://portaletrasparenza.consorziobacchiglione.it/dettagli/attodigara/6535/fornitura-n-1-battipalo-malaguti-mod-pm401b-completo-di-pinza-per-pali-in-legno-sella-attacco-trevi-per-bacino-patiarcati.html"</f>
        <v>https://portaletrasparenza.consorziobacchiglione.it/dettagli/attodigara/6535/fornitura-n-1-battipalo-malaguti-mod-pm401b-completo-di-pinza-per-pali-in-legno-sella-attacco-trevi-per-bacino-patiarcati.html</v>
      </c>
      <c r="U447" t="str">
        <f>"https://portaletrasparenza.consorziobacchiglione.it/download/attodigara/6535/63ac4546691d8.PDF"</f>
        <v>https://portaletrasparenza.consorziobacchiglione.it/download/attodigara/6535/63ac4546691d8.PDF</v>
      </c>
      <c r="V44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48" spans="1:22" x14ac:dyDescent="0.3">
      <c r="A448" t="str">
        <f>"Affidamento"</f>
        <v>Affidamento</v>
      </c>
      <c r="B448" t="str">
        <f>"Fornitura n 3 tubi a bicchiere diametro 40 per bacino Pratiarcati."</f>
        <v>Fornitura n 3 tubi a bicchiere diametro 40 per bacino Pratiarcati.</v>
      </c>
      <c r="C448" t="str">
        <f>"Z541869F14"</f>
        <v>Z541869F14</v>
      </c>
      <c r="D448" t="str">
        <f>"04/11/2021"</f>
        <v>04/11/2021</v>
      </c>
      <c r="E448" t="str">
        <f>""</f>
        <v/>
      </c>
      <c r="F448" t="str">
        <f>""</f>
        <v/>
      </c>
      <c r="G448" t="str">
        <f>"57.60"</f>
        <v>57.60</v>
      </c>
      <c r="H448" t="str">
        <f>"Consorzio di bonifica Bacchiglione"</f>
        <v>Consorzio di bonifica Bacchiglione</v>
      </c>
      <c r="I448" t="str">
        <f>"92223390284"</f>
        <v>92223390284</v>
      </c>
      <c r="J448" t="str">
        <f>"23-AFFIDAMENTO DIRETTO"</f>
        <v>23-AFFIDAMENTO DIRETTO</v>
      </c>
      <c r="K448" t="str">
        <f>"08/02/2021"</f>
        <v>08/02/2021</v>
      </c>
      <c r="L448" t="str">
        <f>"18/03/2021"</f>
        <v>18/03/2021</v>
      </c>
      <c r="M448" t="str">
        <f>""</f>
        <v/>
      </c>
      <c r="N448" t="str">
        <f>"Manufatti Bedin Via delle Industrie 12 35020 Albignasego PD"</f>
        <v>Manufatti Bedin Via delle Industrie 12 35020 Albignasego PD</v>
      </c>
      <c r="O448" t="str">
        <f>"Manufatti Bedin Via delle Industrie 12 35020 Albignasego PD"</f>
        <v>Manufatti Bedin Via delle Industrie 12 35020 Albignasego PD</v>
      </c>
      <c r="P448" t="str">
        <f>"Z541869F14: [57.60€ ]"</f>
        <v>Z541869F14: [57.60€ ]</v>
      </c>
      <c r="Q448" t="str">
        <f>""</f>
        <v/>
      </c>
      <c r="R448" t="str">
        <f>""</f>
        <v/>
      </c>
      <c r="S448" t="str">
        <f>""</f>
        <v/>
      </c>
      <c r="T448" t="str">
        <f>"https://portaletrasparenza.consorziobacchiglione.it/dettagli/attodigara/142/fornitura-n-3-tubi-a-bicchiere-diametro-40-per-bacino-pratiarcati.html"</f>
        <v>https://portaletrasparenza.consorziobacchiglione.it/dettagli/attodigara/142/fornitura-n-3-tubi-a-bicchiere-diametro-40-per-bacino-pratiarcati.html</v>
      </c>
      <c r="U448" t="str">
        <f>""</f>
        <v/>
      </c>
      <c r="V4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49" spans="1:22" x14ac:dyDescent="0.3">
      <c r="A449" t="str">
        <f>"Affidamento"</f>
        <v>Affidamento</v>
      </c>
      <c r="B449" t="str">
        <f>"Fornitura Nas Server per backup di sicurezza ufficio progettazione e Ufficio comunicazione ( Dott.ssa Rostellato)."</f>
        <v>Fornitura Nas Server per backup di sicurezza ufficio progettazione e Ufficio comunicazione ( Dott.ssa Rostellato).</v>
      </c>
      <c r="C449" t="str">
        <f>"Z581869D37"</f>
        <v>Z581869D37</v>
      </c>
      <c r="D449" t="str">
        <f>"04/11/2021"</f>
        <v>04/11/2021</v>
      </c>
      <c r="E449" t="str">
        <f>""</f>
        <v/>
      </c>
      <c r="F449" t="str">
        <f>""</f>
        <v/>
      </c>
      <c r="G449" t="str">
        <f>"1000.00"</f>
        <v>1000.00</v>
      </c>
      <c r="H449" t="str">
        <f>"Consorzio di bonifica Bacchiglione"</f>
        <v>Consorzio di bonifica Bacchiglione</v>
      </c>
      <c r="I449" t="str">
        <f>"92223390284"</f>
        <v>92223390284</v>
      </c>
      <c r="J449" t="str">
        <f>"23-AFFIDAMENTO DIRETTO"</f>
        <v>23-AFFIDAMENTO DIRETTO</v>
      </c>
      <c r="K449" t="str">
        <f>"08/02/2021"</f>
        <v>08/02/2021</v>
      </c>
      <c r="L449" t="str">
        <f>"24/02/2021"</f>
        <v>24/02/2021</v>
      </c>
      <c r="M449" t="str">
        <f>""</f>
        <v/>
      </c>
      <c r="N449" t="str">
        <f>"TPH Elettronica s.a.s. Via N. Pizzolo 51A 35132 Padova"</f>
        <v>TPH Elettronica s.a.s. Via N. Pizzolo 51A 35132 Padova</v>
      </c>
      <c r="O449" t="str">
        <f>"TPH Elettronica s.a.s. Via N. Pizzolo 51A 35132 Padova"</f>
        <v>TPH Elettronica s.a.s. Via N. Pizzolo 51A 35132 Padova</v>
      </c>
      <c r="P449" t="str">
        <f>"Z581869D37: [1000.00€ ]"</f>
        <v>Z581869D37: [1000.00€ ]</v>
      </c>
      <c r="Q449" t="str">
        <f>""</f>
        <v/>
      </c>
      <c r="R449" t="str">
        <f>""</f>
        <v/>
      </c>
      <c r="S449" t="str">
        <f>""</f>
        <v/>
      </c>
      <c r="T449" t="str">
        <f>"https://portaletrasparenza.consorziobacchiglione.it/dettagli/attodigara/141/fornitura-nas-server-per-backup-di-sicurezza-ufficio-progettazione-e-ufficio-comunicazione-dott-ssa-rostellato.html"</f>
        <v>https://portaletrasparenza.consorziobacchiglione.it/dettagli/attodigara/141/fornitura-nas-server-per-backup-di-sicurezza-ufficio-progettazione-e-ufficio-comunicazione-dott-ssa-rostellato.html</v>
      </c>
      <c r="U449" t="str">
        <f>""</f>
        <v/>
      </c>
      <c r="V4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50" spans="1:22" x14ac:dyDescent="0.3">
      <c r="A450" t="str">
        <f>"Affidamento"</f>
        <v>Affidamento</v>
      </c>
      <c r="B450" t="str">
        <f>"Verifica integrità serbatoi d'aria compressa per avviamento motori diesel Idrovora S.Margherita."</f>
        <v>Verifica integrità serbatoi d'aria compressa per avviamento motori diesel Idrovora S.Margherita.</v>
      </c>
      <c r="C450" t="str">
        <f>"Z261869A86"</f>
        <v>Z261869A86</v>
      </c>
      <c r="D450" t="str">
        <f>"04/11/2021"</f>
        <v>04/11/2021</v>
      </c>
      <c r="E450" t="str">
        <f>""</f>
        <v/>
      </c>
      <c r="F450" t="str">
        <f>""</f>
        <v/>
      </c>
      <c r="G450" t="str">
        <f>"2500.00"</f>
        <v>2500.00</v>
      </c>
      <c r="H450" t="str">
        <f>"Consorzio di bonifica Bacchiglione"</f>
        <v>Consorzio di bonifica Bacchiglione</v>
      </c>
      <c r="I450" t="str">
        <f>"92223390284"</f>
        <v>92223390284</v>
      </c>
      <c r="J450" t="str">
        <f>"23-AFFIDAMENTO DIRETTO"</f>
        <v>23-AFFIDAMENTO DIRETTO</v>
      </c>
      <c r="K450" t="str">
        <f>"08/02/2021"</f>
        <v>08/02/2021</v>
      </c>
      <c r="L450" t="str">
        <f>"03/05/2021"</f>
        <v>03/05/2021</v>
      </c>
      <c r="M450" t="str">
        <f>""</f>
        <v/>
      </c>
      <c r="N450" t="str">
        <f>"Ivat S.R.L. Via Spin 103 36060 Romano D'Ezzelino VI"</f>
        <v>Ivat S.R.L. Via Spin 103 36060 Romano D'Ezzelino VI</v>
      </c>
      <c r="O450" t="str">
        <f>"Ivat S.R.L. Via Spin 103 36060 Romano D'Ezzelino VI"</f>
        <v>Ivat S.R.L. Via Spin 103 36060 Romano D'Ezzelino VI</v>
      </c>
      <c r="P450" t="str">
        <f>"Z261869A86: [2500.00€ ]"</f>
        <v>Z261869A86: [2500.00€ ]</v>
      </c>
      <c r="Q450" t="str">
        <f>""</f>
        <v/>
      </c>
      <c r="R450" t="str">
        <f>""</f>
        <v/>
      </c>
      <c r="S450" t="str">
        <f>""</f>
        <v/>
      </c>
      <c r="T450" t="str">
        <f>"https://portaletrasparenza.consorziobacchiglione.it/dettagli/attodigara/140/verifica-integrita-serbatoi-d-aria-compressa-per-avviamento-motori-diesel-idrovora-s-margherita.html"</f>
        <v>https://portaletrasparenza.consorziobacchiglione.it/dettagli/attodigara/140/verifica-integrita-serbatoi-d-aria-compressa-per-avviamento-motori-diesel-idrovora-s-margherita.html</v>
      </c>
      <c r="U450" t="str">
        <f>""</f>
        <v/>
      </c>
      <c r="V45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51" spans="1:22" x14ac:dyDescent="0.3">
      <c r="A451" t="str">
        <f>"Affidamento"</f>
        <v>Affidamento</v>
      </c>
      <c r="B451" t="str">
        <f>"FORNITURA DI TONER PER STAMPANTI UFFICIO CATASTO"</f>
        <v>FORNITURA DI TONER PER STAMPANTI UFFICIO CATASTO</v>
      </c>
      <c r="C451" t="str">
        <f>"Z80186A027"</f>
        <v>Z80186A027</v>
      </c>
      <c r="D451" t="str">
        <f>"04/11/2021"</f>
        <v>04/11/2021</v>
      </c>
      <c r="E451" t="str">
        <f>""</f>
        <v/>
      </c>
      <c r="F451" t="str">
        <f>""</f>
        <v/>
      </c>
      <c r="G451" t="str">
        <f>"568.00"</f>
        <v>568.00</v>
      </c>
      <c r="H451" t="str">
        <f>"Consorzio di bonifica Bacchiglione"</f>
        <v>Consorzio di bonifica Bacchiglione</v>
      </c>
      <c r="I451" t="str">
        <f>"92223390284"</f>
        <v>92223390284</v>
      </c>
      <c r="J451" t="str">
        <f>"23-AFFIDAMENTO DIRETTO"</f>
        <v>23-AFFIDAMENTO DIRETTO</v>
      </c>
      <c r="K451" t="str">
        <f>"08/02/2021"</f>
        <v>08/02/2021</v>
      </c>
      <c r="L451" t="str">
        <f>"01/06/2021"</f>
        <v>01/06/2021</v>
      </c>
      <c r="M451" t="str">
        <f>""</f>
        <v/>
      </c>
      <c r="N451" t="str">
        <f>"TPH ELETTRONICA S.A.S."</f>
        <v>TPH ELETTRONICA S.A.S.</v>
      </c>
      <c r="O451" t="str">
        <f>"TPH ELETTRONICA S.A.S."</f>
        <v>TPH ELETTRONICA S.A.S.</v>
      </c>
      <c r="P451" t="str">
        <f>"Z80186A027: [568.00€ ]"</f>
        <v>Z80186A027: [568.00€ ]</v>
      </c>
      <c r="Q451" t="str">
        <f>""</f>
        <v/>
      </c>
      <c r="R451" t="str">
        <f>""</f>
        <v/>
      </c>
      <c r="S451" t="str">
        <f>""</f>
        <v/>
      </c>
      <c r="T451" t="str">
        <f>"https://portaletrasparenza.consorziobacchiglione.it/dettagli/attodigara/139/fornitura-di-toner-per-stampanti-ufficio-catasto.html"</f>
        <v>https://portaletrasparenza.consorziobacchiglione.it/dettagli/attodigara/139/fornitura-di-toner-per-stampanti-ufficio-catasto.html</v>
      </c>
      <c r="U451" t="str">
        <f>""</f>
        <v/>
      </c>
      <c r="V45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52" spans="1:22" x14ac:dyDescent="0.3">
      <c r="A452" t="str">
        <f>"Affidamento"</f>
        <v>Affidamento</v>
      </c>
      <c r="B452" t="str">
        <f>"Fornitura n.4 nuovi motori elettrici trifase per II e III Bacino Irriguo"</f>
        <v>Fornitura n.4 nuovi motori elettrici trifase per II e III Bacino Irriguo</v>
      </c>
      <c r="C452" t="str">
        <f>"ZF2308BC7B"</f>
        <v>ZF2308BC7B</v>
      </c>
      <c r="D452" t="str">
        <f>"09/02/2021"</f>
        <v>09/02/2021</v>
      </c>
      <c r="E452" t="str">
        <f>""</f>
        <v/>
      </c>
      <c r="F452" t="str">
        <f>""</f>
        <v/>
      </c>
      <c r="G452" t="str">
        <f>"2180.00"</f>
        <v>2180.00</v>
      </c>
      <c r="H452" t="str">
        <f>"Consorzio di bonifica Bacchiglione"</f>
        <v>Consorzio di bonifica Bacchiglione</v>
      </c>
      <c r="I452" t="str">
        <f>"92223390284"</f>
        <v>92223390284</v>
      </c>
      <c r="J452" t="str">
        <f>"23-AFFIDAMENTO DIRETTO"</f>
        <v>23-AFFIDAMENTO DIRETTO</v>
      </c>
      <c r="K452" t="str">
        <f>"08/02/2021"</f>
        <v>08/02/2021</v>
      </c>
      <c r="L452" t="str">
        <f>"28/02/2021"</f>
        <v>28/02/2021</v>
      </c>
      <c r="M452" t="str">
        <f>""</f>
        <v/>
      </c>
      <c r="N452" t="str">
        <f>"Scarpa Sergio Elettromeccanica S.n.c. di Scarpa Paola E C. Via A. Vivaldi 7 35028 Piove di Sacco PD"</f>
        <v>Scarpa Sergio Elettromeccanica S.n.c. di Scarpa Paola E C. Via A. Vivaldi 7 35028 Piove di Sacco PD</v>
      </c>
      <c r="O452" t="str">
        <f>"Scarpa Sergio Elettromeccanica S.n.c. di Scarpa Paola E C. Via A. Vivaldi 7 35028 Piove di Sacco PD"</f>
        <v>Scarpa Sergio Elettromeccanica S.n.c. di Scarpa Paola E C. Via A. Vivaldi 7 35028 Piove di Sacco PD</v>
      </c>
      <c r="P452" t="str">
        <f>"ZF2308BC7B: [2180.00€ ]"</f>
        <v>ZF2308BC7B: [2180.00€ ]</v>
      </c>
      <c r="Q452" t="str">
        <f>""</f>
        <v/>
      </c>
      <c r="R452" t="str">
        <f>""</f>
        <v/>
      </c>
      <c r="S452" t="str">
        <f>""</f>
        <v/>
      </c>
      <c r="T452" t="str">
        <f>"https://portaletrasparenza.consorziobacchiglione.it/dettagli/attodigara/6619/fornitura-n-4-nuovi-motori-elettrici-trifase-per-ii-e-iii-bacino-irriguo.html"</f>
        <v>https://portaletrasparenza.consorziobacchiglione.it/dettagli/attodigara/6619/fornitura-n-4-nuovi-motori-elettrici-trifase-per-ii-e-iii-bacino-irriguo.html</v>
      </c>
      <c r="U452" t="str">
        <f>"https://portaletrasparenza.consorziobacchiglione.it/download/attodigara/6619/63ac45597e41b.PDF"</f>
        <v>https://portaletrasparenza.consorziobacchiglione.it/download/attodigara/6619/63ac45597e41b.PDF</v>
      </c>
      <c r="V4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53" spans="1:22" x14ac:dyDescent="0.3">
      <c r="A453" t="str">
        <f>"Affidamento"</f>
        <v>Affidamento</v>
      </c>
      <c r="B453" t="str">
        <f>"Manutenzione e riparazione mezzo con targa: DS716AA più igienizzazione abitacolo del mezzo targato: FV771FY."</f>
        <v>Manutenzione e riparazione mezzo con targa: DS716AA più igienizzazione abitacolo del mezzo targato: FV771FY.</v>
      </c>
      <c r="C453" t="str">
        <f>"ZA9308B979"</f>
        <v>ZA9308B979</v>
      </c>
      <c r="D453" t="str">
        <f>"09/02/2021"</f>
        <v>09/02/2021</v>
      </c>
      <c r="E453" t="str">
        <f>""</f>
        <v/>
      </c>
      <c r="F453" t="str">
        <f>""</f>
        <v/>
      </c>
      <c r="G453" t="str">
        <f>"847.00"</f>
        <v>847.00</v>
      </c>
      <c r="H453" t="str">
        <f>"Consorzio di bonifica Bacchiglione"</f>
        <v>Consorzio di bonifica Bacchiglione</v>
      </c>
      <c r="I453" t="str">
        <f>"92223390284"</f>
        <v>92223390284</v>
      </c>
      <c r="J453" t="str">
        <f>"23-AFFIDAMENTO DIRETTO"</f>
        <v>23-AFFIDAMENTO DIRETTO</v>
      </c>
      <c r="K453" t="str">
        <f>"08/02/2021"</f>
        <v>08/02/2021</v>
      </c>
      <c r="L453" t="str">
        <f>"02/08/2022"</f>
        <v>02/08/2022</v>
      </c>
      <c r="M453" t="str">
        <f>""</f>
        <v/>
      </c>
      <c r="N453" t="str">
        <f>"Vise Elettrocar Via Montagnon 61 35028 Tognana di Piove di Sacco PD"</f>
        <v>Vise Elettrocar Via Montagnon 61 35028 Tognana di Piove di Sacco PD</v>
      </c>
      <c r="O453" t="str">
        <f>"Vise Elettrocar Via Montagnon 61 35028 Tognana di Piove di Sacco PD"</f>
        <v>Vise Elettrocar Via Montagnon 61 35028 Tognana di Piove di Sacco PD</v>
      </c>
      <c r="P453" t="str">
        <f>"ZA9308B979: [847.00€ ]"</f>
        <v>ZA9308B979: [847.00€ ]</v>
      </c>
      <c r="Q453" t="str">
        <f>""</f>
        <v/>
      </c>
      <c r="R453" t="str">
        <f>""</f>
        <v/>
      </c>
      <c r="S453" t="str">
        <f>""</f>
        <v/>
      </c>
      <c r="T453" t="str">
        <f>"https://portaletrasparenza.consorziobacchiglione.it/dettagli/attodigara/6618/manutenzione-e-riparazione-mezzo-con-targa-ds716aa-piu-igienizzazione-abitacolo-del-mezzo-targato-fv771fy.html"</f>
        <v>https://portaletrasparenza.consorziobacchiglione.it/dettagli/attodigara/6618/manutenzione-e-riparazione-mezzo-con-targa-ds716aa-piu-igienizzazione-abitacolo-del-mezzo-targato-fv771fy.html</v>
      </c>
      <c r="U453" t="str">
        <f>"https://portaletrasparenza.consorziobacchiglione.it/download/attodigara/6618/63ac4559b6d23.PDF"</f>
        <v>https://portaletrasparenza.consorziobacchiglione.it/download/attodigara/6618/63ac4559b6d23.PDF</v>
      </c>
      <c r="V4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54" spans="1:22" x14ac:dyDescent="0.3">
      <c r="A454" t="str">
        <f>"Affidamento"</f>
        <v>Affidamento</v>
      </c>
      <c r="B454" t="str">
        <f>"Lavori aggiuntivi."</f>
        <v>Lavori aggiuntivi.</v>
      </c>
      <c r="C454" t="str">
        <f>"Z7F308A06D"</f>
        <v>Z7F308A06D</v>
      </c>
      <c r="D454" t="str">
        <f>"09/02/2021"</f>
        <v>09/02/2021</v>
      </c>
      <c r="E454" t="str">
        <f>""</f>
        <v/>
      </c>
      <c r="F454" t="str">
        <f>""</f>
        <v/>
      </c>
      <c r="G454" t="str">
        <f>"8000.00"</f>
        <v>8000.00</v>
      </c>
      <c r="H454" t="str">
        <f>"Consorzio di bonifica Bacchiglione"</f>
        <v>Consorzio di bonifica Bacchiglione</v>
      </c>
      <c r="I454" t="str">
        <f>"92223390284"</f>
        <v>92223390284</v>
      </c>
      <c r="J454" t="str">
        <f>"23-AFFIDAMENTO DIRETTO"</f>
        <v>23-AFFIDAMENTO DIRETTO</v>
      </c>
      <c r="K454" t="str">
        <f>"08/02/2021"</f>
        <v>08/02/2021</v>
      </c>
      <c r="L454" t="str">
        <f>"13/04/2021"</f>
        <v>13/04/2021</v>
      </c>
      <c r="M454" t="str">
        <f>""</f>
        <v/>
      </c>
      <c r="N454" t="str">
        <f>"EDILVI S.A.S"</f>
        <v>EDILVI S.A.S</v>
      </c>
      <c r="O454" t="str">
        <f>"EDILVI S.A.S"</f>
        <v>EDILVI S.A.S</v>
      </c>
      <c r="P454" t="str">
        <f>"Z7F308A06D: [8000.00€ ]"</f>
        <v>Z7F308A06D: [8000.00€ ]</v>
      </c>
      <c r="Q454" t="str">
        <f>""</f>
        <v/>
      </c>
      <c r="R454" t="str">
        <f>""</f>
        <v/>
      </c>
      <c r="S454" t="str">
        <f>""</f>
        <v/>
      </c>
      <c r="T454" t="str">
        <f>"https://portaletrasparenza.consorziobacchiglione.it/dettagli/attodigara/6617/lavori-aggiuntivi.html"</f>
        <v>https://portaletrasparenza.consorziobacchiglione.it/dettagli/attodigara/6617/lavori-aggiuntivi.html</v>
      </c>
      <c r="U454" t="str">
        <f>"https://portaletrasparenza.consorziobacchiglione.it/download/attodigara/6617/63ac45590d85a.PDF"</f>
        <v>https://portaletrasparenza.consorziobacchiglione.it/download/attodigara/6617/63ac45590d85a.PDF</v>
      </c>
      <c r="V4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55" spans="1:22" x14ac:dyDescent="0.3">
      <c r="A455" t="str">
        <f>"Affidamento"</f>
        <v>Affidamento</v>
      </c>
      <c r="B455" t="str">
        <f>"Manutenzione e riparazione del mezzo targato: EW924ED"</f>
        <v>Manutenzione e riparazione del mezzo targato: EW924ED</v>
      </c>
      <c r="C455" t="str">
        <f>"Z1330895F2"</f>
        <v>Z1330895F2</v>
      </c>
      <c r="D455" t="str">
        <f>"09/02/2021"</f>
        <v>09/02/2021</v>
      </c>
      <c r="E455" t="str">
        <f>""</f>
        <v/>
      </c>
      <c r="F455" t="str">
        <f>""</f>
        <v/>
      </c>
      <c r="G455" t="str">
        <f>"240.00"</f>
        <v>240.00</v>
      </c>
      <c r="H455" t="str">
        <f>"Consorzio di bonifica Bacchiglione"</f>
        <v>Consorzio di bonifica Bacchiglione</v>
      </c>
      <c r="I455" t="str">
        <f>"92223390284"</f>
        <v>92223390284</v>
      </c>
      <c r="J455" t="str">
        <f>"23-AFFIDAMENTO DIRETTO"</f>
        <v>23-AFFIDAMENTO DIRETTO</v>
      </c>
      <c r="K455" t="str">
        <f>"08/02/2021"</f>
        <v>08/02/2021</v>
      </c>
      <c r="L455" t="str">
        <f>"20/02/2021"</f>
        <v>20/02/2021</v>
      </c>
      <c r="M455" t="str">
        <f>""</f>
        <v/>
      </c>
      <c r="N455" t="str">
        <f>"Autoservice sas via Brentella 4 35020 Codevigo PD"</f>
        <v>Autoservice sas via Brentella 4 35020 Codevigo PD</v>
      </c>
      <c r="O455" t="str">
        <f>"Autoservice sas via Brentella 4 35020 Codevigo PD"</f>
        <v>Autoservice sas via Brentella 4 35020 Codevigo PD</v>
      </c>
      <c r="P455" t="str">
        <f>"Z1330895F2: [240.00€ ]"</f>
        <v>Z1330895F2: [240.00€ ]</v>
      </c>
      <c r="Q455" t="str">
        <f>""</f>
        <v/>
      </c>
      <c r="R455" t="str">
        <f>""</f>
        <v/>
      </c>
      <c r="S455" t="str">
        <f>""</f>
        <v/>
      </c>
      <c r="T455" t="str">
        <f>"https://portaletrasparenza.consorziobacchiglione.it/dettagli/attodigara/6615/manutenzione-e-riparazione-del-mezzo-targato-ew924ed.html"</f>
        <v>https://portaletrasparenza.consorziobacchiglione.it/dettagli/attodigara/6615/manutenzione-e-riparazione-del-mezzo-targato-ew924ed.html</v>
      </c>
      <c r="U455" t="str">
        <f>"https://portaletrasparenza.consorziobacchiglione.it/download/attodigara/6615/63ac4558909f4.PDF"</f>
        <v>https://portaletrasparenza.consorziobacchiglione.it/download/attodigara/6615/63ac4558909f4.PDF</v>
      </c>
      <c r="V4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56" spans="1:22" x14ac:dyDescent="0.3">
      <c r="A456" t="str">
        <f>"Affidamento"</f>
        <v>Affidamento</v>
      </c>
      <c r="B456" t="str">
        <f>"Igienizzazione abitacolo dei mezzi con targa: FN454KT , FV770FY."</f>
        <v>Igienizzazione abitacolo dei mezzi con targa: FN454KT , FV770FY.</v>
      </c>
      <c r="C456" t="str">
        <f>"ZA1308930A"</f>
        <v>ZA1308930A</v>
      </c>
      <c r="D456" t="str">
        <f>"09/02/2021"</f>
        <v>09/02/2021</v>
      </c>
      <c r="E456" t="str">
        <f>""</f>
        <v/>
      </c>
      <c r="F456" t="str">
        <f>""</f>
        <v/>
      </c>
      <c r="G456" t="str">
        <f>"115.00"</f>
        <v>115.00</v>
      </c>
      <c r="H456" t="str">
        <f>"Consorzio di bonifica Bacchiglione"</f>
        <v>Consorzio di bonifica Bacchiglione</v>
      </c>
      <c r="I456" t="str">
        <f>"92223390284"</f>
        <v>92223390284</v>
      </c>
      <c r="J456" t="str">
        <f>"23-AFFIDAMENTO DIRETTO"</f>
        <v>23-AFFIDAMENTO DIRETTO</v>
      </c>
      <c r="K456" t="str">
        <f>"08/02/2021"</f>
        <v>08/02/2021</v>
      </c>
      <c r="L456" t="str">
        <f>"10/03/2022"</f>
        <v>10/03/2022</v>
      </c>
      <c r="M456" t="str">
        <f>""</f>
        <v/>
      </c>
      <c r="N456" t="str">
        <f>"Vise Elettrocar Via Montagnon 61 35028 Tognana di Piove di Sacco PD"</f>
        <v>Vise Elettrocar Via Montagnon 61 35028 Tognana di Piove di Sacco PD</v>
      </c>
      <c r="O456" t="str">
        <f>"Vise Elettrocar Via Montagnon 61 35028 Tognana di Piove di Sacco PD"</f>
        <v>Vise Elettrocar Via Montagnon 61 35028 Tognana di Piove di Sacco PD</v>
      </c>
      <c r="P456" t="str">
        <f>"ZA1308930A: [115.00€ ]"</f>
        <v>ZA1308930A: [115.00€ ]</v>
      </c>
      <c r="Q456" t="str">
        <f>""</f>
        <v/>
      </c>
      <c r="R456" t="str">
        <f>""</f>
        <v/>
      </c>
      <c r="S456" t="str">
        <f>""</f>
        <v/>
      </c>
      <c r="T456" t="str">
        <f>"https://portaletrasparenza.consorziobacchiglione.it/dettagli/attodigara/6614/igienizzazione-abitacolo-dei-mezzi-con-targa-fn454kt-fv770fy.html"</f>
        <v>https://portaletrasparenza.consorziobacchiglione.it/dettagli/attodigara/6614/igienizzazione-abitacolo-dei-mezzi-con-targa-fn454kt-fv770fy.html</v>
      </c>
      <c r="U456" t="str">
        <f>"https://portaletrasparenza.consorziobacchiglione.it/download/attodigara/6614/63ac4558c943d.PDF"</f>
        <v>https://portaletrasparenza.consorziobacchiglione.it/download/attodigara/6614/63ac4558c943d.PDF</v>
      </c>
      <c r="V45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57" spans="1:22" x14ac:dyDescent="0.3">
      <c r="A457" t="str">
        <f>"Affidamento"</f>
        <v>Affidamento</v>
      </c>
      <c r="B457" t="str">
        <f>"Ripresa spondale in SX Idraulica dello scolo Fossamonda, Lungo Via Trento in Comune di Piove di sacco"</f>
        <v>Ripresa spondale in SX Idraulica dello scolo Fossamonda, Lungo Via Trento in Comune di Piove di sacco</v>
      </c>
      <c r="C457" t="str">
        <f>"Z84308A0CB"</f>
        <v>Z84308A0CB</v>
      </c>
      <c r="D457" t="str">
        <f>"09/02/2021"</f>
        <v>09/02/2021</v>
      </c>
      <c r="E457" t="str">
        <f>""</f>
        <v/>
      </c>
      <c r="F457" t="str">
        <f>""</f>
        <v/>
      </c>
      <c r="G457" t="str">
        <f>"37116.91"</f>
        <v>37116.91</v>
      </c>
      <c r="H457" t="str">
        <f>"Consorzio di bonifica Bacchiglione"</f>
        <v>Consorzio di bonifica Bacchiglione</v>
      </c>
      <c r="I457" t="str">
        <f>"92223390284"</f>
        <v>92223390284</v>
      </c>
      <c r="J457" t="str">
        <f>"23-AFFIDAMENTO DIRETTO"</f>
        <v>23-AFFIDAMENTO DIRETTO</v>
      </c>
      <c r="K457" t="str">
        <f>"08/02/2021"</f>
        <v>08/02/2021</v>
      </c>
      <c r="L457" t="str">
        <f>"07/04/2021"</f>
        <v>07/04/2021</v>
      </c>
      <c r="M457" t="str">
        <f>""</f>
        <v/>
      </c>
      <c r="N457" t="str">
        <f>"La Cittadella s.n.c. di Ferrara Andrea E C. Via Vallona 98 35020 Codevigo PD | Costruzioni Ing. Carlo Broetto S.L.R. Via Meucci 1 35037 Teolo PD | Edilvi SAS di Viel Dario, Viel Denis E C. Via Idrovora, 4 - 35020 Codevigo (PD)"</f>
        <v>La Cittadella s.n.c. di Ferrara Andrea E C. Via Vallona 98 35020 Codevigo PD | Costruzioni Ing. Carlo Broetto S.L.R. Via Meucci 1 35037 Teolo PD | Edilvi SAS di Viel Dario, Viel Denis E C. Via Idrovora, 4 - 35020 Codevigo (PD)</v>
      </c>
      <c r="O457" t="str">
        <f>"Edilvi SAS di Viel Dario, Viel Denis E C. Via Idrovora, 4 - 35020 Codevigo (PD)"</f>
        <v>Edilvi SAS di Viel Dario, Viel Denis E C. Via Idrovora, 4 - 35020 Codevigo (PD)</v>
      </c>
      <c r="P457" t="str">
        <f>"Z84308A0CB: [34182.56€ ]"</f>
        <v>Z84308A0CB: [34182.56€ ]</v>
      </c>
      <c r="Q457" t="str">
        <f>""</f>
        <v/>
      </c>
      <c r="R457" t="str">
        <f>""</f>
        <v/>
      </c>
      <c r="S457" t="str">
        <f>""</f>
        <v/>
      </c>
      <c r="T457" t="str">
        <f>"https://portaletrasparenza.consorziobacchiglione.it/dettagli/attodigara/6616/ripresa-spondale-in-sx-idraulica-dello-scolo-fossamonda-lungo-via-trento-in-comune-di-piove-di-sacco.html"</f>
        <v>https://portaletrasparenza.consorziobacchiglione.it/dettagli/attodigara/6616/ripresa-spondale-in-sx-idraulica-dello-scolo-fossamonda-lungo-via-trento-in-comune-di-piove-di-sacco.html</v>
      </c>
      <c r="U457" t="str">
        <f>"https://portaletrasparenza.consorziobacchiglione.it/download/attodigara/6616/63ac455858120.PDF"</f>
        <v>https://portaletrasparenza.consorziobacchiglione.it/download/attodigara/6616/63ac455858120.PDF</v>
      </c>
      <c r="V457">
        <f>(SUBSTITUTE(Tabella1[[#This Row],[Importo di aggiudicazione]],".",","))-(SUBSTITUTE(  SUBSTITUTE(          SUBSTITUTE(Tabella1[[#This Row],[Dettaglio somme liquidate]],Tabella1[[#This Row],[CIG]]&amp;": [",""),"€ ]",""),".",","))</f>
        <v>2934.3500000000058</v>
      </c>
    </row>
    <row r="458" spans="1:22" x14ac:dyDescent="0.3">
      <c r="A458" t="str">
        <f>"Affidamento"</f>
        <v>Affidamento</v>
      </c>
      <c r="B458" t="str">
        <f>"Completamento scavi archeologici secondo le indicazioni della Soprintendenza ai Beni Ambientali - Processo ID 005-08."</f>
        <v>Completamento scavi archeologici secondo le indicazioni della Soprintendenza ai Beni Ambientali - Processo ID 005-08.</v>
      </c>
      <c r="C458" t="str">
        <f>"Z3D18E44C2"</f>
        <v>Z3D18E44C2</v>
      </c>
      <c r="D458" t="str">
        <f>"04/11/2021"</f>
        <v>04/11/2021</v>
      </c>
      <c r="E458" t="str">
        <f>""</f>
        <v/>
      </c>
      <c r="F458" t="str">
        <f>""</f>
        <v/>
      </c>
      <c r="G458" t="str">
        <f>"17600.00"</f>
        <v>17600.00</v>
      </c>
      <c r="H458" t="str">
        <f>"Consorzio di bonifica Bacchiglione"</f>
        <v>Consorzio di bonifica Bacchiglione</v>
      </c>
      <c r="I458" t="str">
        <f>"92223390284"</f>
        <v>92223390284</v>
      </c>
      <c r="J458" t="str">
        <f>"23-AFFIDAMENTO DIRETTO"</f>
        <v>23-AFFIDAMENTO DIRETTO</v>
      </c>
      <c r="K458" t="str">
        <f>"08/03/2021"</f>
        <v>08/03/2021</v>
      </c>
      <c r="L458" t="str">
        <f>"09/05/2021"</f>
        <v>09/05/2021</v>
      </c>
      <c r="M458" t="str">
        <f>""</f>
        <v/>
      </c>
      <c r="N458" t="str">
        <f>"Cooperativa Archeosub Metamauco a R.L."</f>
        <v>Cooperativa Archeosub Metamauco a R.L.</v>
      </c>
      <c r="O458" t="str">
        <f>"Cooperativa Archeosub Metamauco a R.L."</f>
        <v>Cooperativa Archeosub Metamauco a R.L.</v>
      </c>
      <c r="P458" t="str">
        <f>"Z3D18E44C2: [17600.00€ ]"</f>
        <v>Z3D18E44C2: [17600.00€ ]</v>
      </c>
      <c r="Q458" t="str">
        <f>""</f>
        <v/>
      </c>
      <c r="R458" t="str">
        <f>""</f>
        <v/>
      </c>
      <c r="S458" t="str">
        <f>""</f>
        <v/>
      </c>
      <c r="T458" t="str">
        <f>"https://portaletrasparenza.consorziobacchiglione.it/dettagli/attodigara/203/completamento-scavi-archeologici-secondo-le-indicazioni-della-soprintendenza-ai-beni-ambientali-processo-id-005-08.html"</f>
        <v>https://portaletrasparenza.consorziobacchiglione.it/dettagli/attodigara/203/completamento-scavi-archeologici-secondo-le-indicazioni-della-soprintendenza-ai-beni-ambientali-processo-id-005-08.html</v>
      </c>
      <c r="U458" t="str">
        <f>""</f>
        <v/>
      </c>
      <c r="V4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59" spans="1:22" x14ac:dyDescent="0.3">
      <c r="A459" t="str">
        <f>"Affidamento"</f>
        <v>Affidamento</v>
      </c>
      <c r="B459" t="str">
        <f>"Servizio autobus per visita impianti LEB"</f>
        <v>Servizio autobus per visita impianti LEB</v>
      </c>
      <c r="C459" t="str">
        <f>"ZCD18DFAD1"</f>
        <v>ZCD18DFAD1</v>
      </c>
      <c r="D459" t="str">
        <f>"04/11/2021"</f>
        <v>04/11/2021</v>
      </c>
      <c r="E459" t="str">
        <f>""</f>
        <v/>
      </c>
      <c r="F459" t="str">
        <f>""</f>
        <v/>
      </c>
      <c r="G459" t="str">
        <f>"491.80"</f>
        <v>491.80</v>
      </c>
      <c r="H459" t="str">
        <f>"Consorzio di bonifica Bacchiglione"</f>
        <v>Consorzio di bonifica Bacchiglione</v>
      </c>
      <c r="I459" t="str">
        <f>"92223390284"</f>
        <v>92223390284</v>
      </c>
      <c r="J459" t="str">
        <f>"23-AFFIDAMENTO DIRETTO"</f>
        <v>23-AFFIDAMENTO DIRETTO</v>
      </c>
      <c r="K459" t="str">
        <f>"08/03/2021"</f>
        <v>08/03/2021</v>
      </c>
      <c r="L459" t="str">
        <f>"20/05/2021"</f>
        <v>20/05/2021</v>
      </c>
      <c r="M459" t="str">
        <f>""</f>
        <v/>
      </c>
      <c r="N459" t="str">
        <f>"TOSCANINO AUTOSERVIZI di Ferrara Rodolfo"</f>
        <v>TOSCANINO AUTOSERVIZI di Ferrara Rodolfo</v>
      </c>
      <c r="O459" t="str">
        <f>"TOSCANINO AUTOSERVIZI di Ferrara Rodolfo"</f>
        <v>TOSCANINO AUTOSERVIZI di Ferrara Rodolfo</v>
      </c>
      <c r="P459" t="str">
        <f>"ZCD18DFAD1: [428.69€ ]"</f>
        <v>ZCD18DFAD1: [428.69€ ]</v>
      </c>
      <c r="Q459" t="str">
        <f>""</f>
        <v/>
      </c>
      <c r="R459" t="str">
        <f>""</f>
        <v/>
      </c>
      <c r="S459" t="str">
        <f>""</f>
        <v/>
      </c>
      <c r="T459" t="str">
        <f>"https://portaletrasparenza.consorziobacchiglione.it/dettagli/attodigara/204/servizio-autobus-per-visita-impianti-leb.html"</f>
        <v>https://portaletrasparenza.consorziobacchiglione.it/dettagli/attodigara/204/servizio-autobus-per-visita-impianti-leb.html</v>
      </c>
      <c r="U459" t="str">
        <f>""</f>
        <v/>
      </c>
      <c r="V459">
        <f>(SUBSTITUTE(Tabella1[[#This Row],[Importo di aggiudicazione]],".",","))-(SUBSTITUTE(  SUBSTITUTE(          SUBSTITUTE(Tabella1[[#This Row],[Dettaglio somme liquidate]],Tabella1[[#This Row],[CIG]]&amp;": [",""),"€ ]",""),".",","))</f>
        <v>63.110000000000014</v>
      </c>
    </row>
    <row r="460" spans="1:22" x14ac:dyDescent="0.3">
      <c r="A460" t="str">
        <f>"Affidamento"</f>
        <v>Affidamento</v>
      </c>
      <c r="B460" t="str">
        <f>"Sostituzione sponda posteriore in alluminio del mezzo targato: DN881SC"</f>
        <v>Sostituzione sponda posteriore in alluminio del mezzo targato: DN881SC</v>
      </c>
      <c r="C460" t="str">
        <f>"Z8730E8B72"</f>
        <v>Z8730E8B72</v>
      </c>
      <c r="D460" t="str">
        <f>"08/03/2021"</f>
        <v>08/03/2021</v>
      </c>
      <c r="E460" t="str">
        <f>""</f>
        <v/>
      </c>
      <c r="F460" t="str">
        <f>""</f>
        <v/>
      </c>
      <c r="G460" t="str">
        <f>"278.00"</f>
        <v>278.00</v>
      </c>
      <c r="H460" t="str">
        <f>"Consorzio di bonifica Bacchiglione"</f>
        <v>Consorzio di bonifica Bacchiglione</v>
      </c>
      <c r="I460" t="str">
        <f>"92223390284"</f>
        <v>92223390284</v>
      </c>
      <c r="J460" t="str">
        <f>"23-AFFIDAMENTO DIRETTO"</f>
        <v>23-AFFIDAMENTO DIRETTO</v>
      </c>
      <c r="K460" t="str">
        <f>"08/03/2021"</f>
        <v>08/03/2021</v>
      </c>
      <c r="L460" t="str">
        <f>"22/03/2021"</f>
        <v>22/03/2021</v>
      </c>
      <c r="M460" t="str">
        <f>""</f>
        <v/>
      </c>
      <c r="N460" t="str">
        <f>"Moressa s.r.l. Via Cuccara 2 35020 Due Carrare PD"</f>
        <v>Moressa s.r.l. Via Cuccara 2 35020 Due Carrare PD</v>
      </c>
      <c r="O460" t="str">
        <f>"Moressa s.r.l. Via Cuccara 2 35020 Due Carrare PD"</f>
        <v>Moressa s.r.l. Via Cuccara 2 35020 Due Carrare PD</v>
      </c>
      <c r="P460" t="str">
        <f>"Z8730E8B72: [278.00€ ]"</f>
        <v>Z8730E8B72: [278.00€ ]</v>
      </c>
      <c r="Q460" t="str">
        <f>""</f>
        <v/>
      </c>
      <c r="R460" t="str">
        <f>""</f>
        <v/>
      </c>
      <c r="S460" t="str">
        <f>""</f>
        <v/>
      </c>
      <c r="T460" t="str">
        <f>"https://portaletrasparenza.consorziobacchiglione.it/dettagli/attodigara/6677/sostituzione-sponda-posteriore-in-alluminio-del-mezzo-targato-dn881sc.html"</f>
        <v>https://portaletrasparenza.consorziobacchiglione.it/dettagli/attodigara/6677/sostituzione-sponda-posteriore-in-alluminio-del-mezzo-targato-dn881sc.html</v>
      </c>
      <c r="U460" t="str">
        <f>"https://portaletrasparenza.consorziobacchiglione.it/download/attodigara/6677/63ac4566554aa.PDF"</f>
        <v>https://portaletrasparenza.consorziobacchiglione.it/download/attodigara/6677/63ac4566554aa.PDF</v>
      </c>
      <c r="V4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61" spans="1:22" x14ac:dyDescent="0.3">
      <c r="A461" t="str">
        <f>"Affidamento"</f>
        <v>Affidamento</v>
      </c>
      <c r="B461" t="str">
        <f>"Attivazione nuove Funzionalità del centralino: aumento Contemporaneità linea fissa da 12 a 20, migrazione dei numeri delle sedi di S. Margherita e Bovolenta, acquisto cuffiette per ufficio Catasto e attivazione numero ve"</f>
        <v>Attivazione nuove Funzionalità del centralino: aumento Contemporaneità linea fissa da 12 a 20, migrazione dei numeri delle sedi di S. Margherita e Bovolenta, acquisto cuffiette per ufficio Catasto e attivazione numero ve</v>
      </c>
      <c r="C461" t="str">
        <f>"Z8F30E8AA9"</f>
        <v>Z8F30E8AA9</v>
      </c>
      <c r="D461" t="str">
        <f>"08/03/2021"</f>
        <v>08/03/2021</v>
      </c>
      <c r="E461" t="str">
        <f>""</f>
        <v/>
      </c>
      <c r="F461" t="str">
        <f>""</f>
        <v/>
      </c>
      <c r="G461" t="str">
        <f>"4550.00"</f>
        <v>4550.00</v>
      </c>
      <c r="H461" t="str">
        <f>"Consorzio di bonifica Bacchiglione"</f>
        <v>Consorzio di bonifica Bacchiglione</v>
      </c>
      <c r="I461" t="str">
        <f>"92223390284"</f>
        <v>92223390284</v>
      </c>
      <c r="J461" t="str">
        <f>"23-AFFIDAMENTO DIRETTO"</f>
        <v>23-AFFIDAMENTO DIRETTO</v>
      </c>
      <c r="K461" t="str">
        <f>"08/03/2021"</f>
        <v>08/03/2021</v>
      </c>
      <c r="L461" t="str">
        <f>"31/12/2021"</f>
        <v>31/12/2021</v>
      </c>
      <c r="M461" t="str">
        <f>""</f>
        <v/>
      </c>
      <c r="N461" t="str">
        <f>"Fastweb S.P.A. Piazza Adriano Olivetti 1 - 20139 Milano"</f>
        <v>Fastweb S.P.A. Piazza Adriano Olivetti 1 - 20139 Milano</v>
      </c>
      <c r="O461" t="str">
        <f>"Fastweb S.P.A. Piazza Adriano Olivetti 1 - 20139 Milano"</f>
        <v>Fastweb S.P.A. Piazza Adriano Olivetti 1 - 20139 Milano</v>
      </c>
      <c r="P461" t="str">
        <f>"Z8F30E8AA9: [0.00€ ]"</f>
        <v>Z8F30E8AA9: [0.00€ ]</v>
      </c>
      <c r="Q461" t="str">
        <f>""</f>
        <v/>
      </c>
      <c r="R461" t="str">
        <f>""</f>
        <v/>
      </c>
      <c r="S461" t="str">
        <f>""</f>
        <v/>
      </c>
      <c r="T461" t="s">
        <v>111</v>
      </c>
      <c r="U461" t="str">
        <f>"https://portaletrasparenza.consorziobacchiglione.it/download/attodigara/6676/62a2099691457.PDF"</f>
        <v>https://portaletrasparenza.consorziobacchiglione.it/download/attodigara/6676/62a2099691457.PDF</v>
      </c>
      <c r="V461">
        <f>(SUBSTITUTE(Tabella1[[#This Row],[Importo di aggiudicazione]],".",","))-(SUBSTITUTE(  SUBSTITUTE(          SUBSTITUTE(Tabella1[[#This Row],[Dettaglio somme liquidate]],Tabella1[[#This Row],[CIG]]&amp;": [",""),"€ ]",""),".",","))</f>
        <v>4550</v>
      </c>
    </row>
    <row r="462" spans="1:22" x14ac:dyDescent="0.3">
      <c r="A462" t="str">
        <f>"Affidamento"</f>
        <v>Affidamento</v>
      </c>
      <c r="B462" t="str">
        <f>"Fornitura n.2 inverter presso Idrovora Baldon"</f>
        <v>Fornitura n.2 inverter presso Idrovora Baldon</v>
      </c>
      <c r="C462" t="str">
        <f>"Z2730EA975"</f>
        <v>Z2730EA975</v>
      </c>
      <c r="D462" t="str">
        <f>"09/03/2021"</f>
        <v>09/03/2021</v>
      </c>
      <c r="E462" t="str">
        <f>""</f>
        <v/>
      </c>
      <c r="F462" t="str">
        <f>""</f>
        <v/>
      </c>
      <c r="G462" t="str">
        <f>"21850.00"</f>
        <v>21850.00</v>
      </c>
      <c r="H462" t="str">
        <f>"Consorzio di bonifica Bacchiglione"</f>
        <v>Consorzio di bonifica Bacchiglione</v>
      </c>
      <c r="I462" t="str">
        <f>"92223390284"</f>
        <v>92223390284</v>
      </c>
      <c r="J462" t="str">
        <f>"23-AFFIDAMENTO DIRETTO"</f>
        <v>23-AFFIDAMENTO DIRETTO</v>
      </c>
      <c r="K462" t="str">
        <f>"08/03/2021"</f>
        <v>08/03/2021</v>
      </c>
      <c r="L462" t="str">
        <f>"30/03/2021"</f>
        <v>30/03/2021</v>
      </c>
      <c r="M462" t="str">
        <f>""</f>
        <v/>
      </c>
      <c r="N462" t="str">
        <f>"Servizi Tecnologici S.r.l.Via Casa Cucchi, 9 - 37024 Negrar di Valpolicella (VR)"</f>
        <v>Servizi Tecnologici S.r.l.Via Casa Cucchi, 9 - 37024 Negrar di Valpolicella (VR)</v>
      </c>
      <c r="O462" t="str">
        <f>"Servizi Tecnologici S.r.l.Via Casa Cucchi, 9 - 37024 Negrar di Valpolicella (VR)"</f>
        <v>Servizi Tecnologici S.r.l.Via Casa Cucchi, 9 - 37024 Negrar di Valpolicella (VR)</v>
      </c>
      <c r="P462" t="str">
        <f>"Z2730EA975: [21850.00€ ]"</f>
        <v>Z2730EA975: [21850.00€ ]</v>
      </c>
      <c r="Q462" t="str">
        <f>""</f>
        <v/>
      </c>
      <c r="R462" t="str">
        <f>""</f>
        <v/>
      </c>
      <c r="S462" t="str">
        <f>""</f>
        <v/>
      </c>
      <c r="T462" t="str">
        <f>"https://portaletrasparenza.consorziobacchiglione.it/dettagli/attodigara/6679/fornitura-n-2-inverter-presso-idrovora-baldon.html"</f>
        <v>https://portaletrasparenza.consorziobacchiglione.it/dettagli/attodigara/6679/fornitura-n-2-inverter-presso-idrovora-baldon.html</v>
      </c>
      <c r="U462" t="str">
        <f>"https://portaletrasparenza.consorziobacchiglione.it/download/attodigara/6679/63ac4566c6998.PDF"</f>
        <v>https://portaletrasparenza.consorziobacchiglione.it/download/attodigara/6679/63ac4566c6998.PDF</v>
      </c>
      <c r="V46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63" spans="1:22" x14ac:dyDescent="0.3">
      <c r="A463" t="str">
        <f>"Affidamento"</f>
        <v>Affidamento</v>
      </c>
      <c r="B463" t="str">
        <f>"Fornitura n.124 pali in Castagno con punta lunghi MT. 4 per Bacino Sesta Presa"</f>
        <v>Fornitura n.124 pali in Castagno con punta lunghi MT. 4 per Bacino Sesta Presa</v>
      </c>
      <c r="C463" t="str">
        <f>"Z5530EA530"</f>
        <v>Z5530EA530</v>
      </c>
      <c r="D463" t="str">
        <f>"09/03/2021"</f>
        <v>09/03/2021</v>
      </c>
      <c r="E463" t="str">
        <f>""</f>
        <v/>
      </c>
      <c r="F463" t="str">
        <f>""</f>
        <v/>
      </c>
      <c r="G463" t="str">
        <f>"2294.00"</f>
        <v>2294.00</v>
      </c>
      <c r="H463" t="str">
        <f>"Consorzio di bonifica Bacchiglione"</f>
        <v>Consorzio di bonifica Bacchiglione</v>
      </c>
      <c r="I463" t="str">
        <f>"92223390284"</f>
        <v>92223390284</v>
      </c>
      <c r="J463" t="str">
        <f>"23-AFFIDAMENTO DIRETTO"</f>
        <v>23-AFFIDAMENTO DIRETTO</v>
      </c>
      <c r="K463" t="str">
        <f>"08/03/2021"</f>
        <v>08/03/2021</v>
      </c>
      <c r="L463" t="str">
        <f>"13/03/2021"</f>
        <v>13/03/2021</v>
      </c>
      <c r="M463" t="str">
        <f>""</f>
        <v/>
      </c>
      <c r="N463" t="str">
        <f>"Rinaldi Combustibili s.n.c. Via Repoise 2 35030 Cervarese Santa Croce PD"</f>
        <v>Rinaldi Combustibili s.n.c. Via Repoise 2 35030 Cervarese Santa Croce PD</v>
      </c>
      <c r="O463" t="str">
        <f>"Rinaldi Combustibili s.n.c. Via Repoise 2 35030 Cervarese Santa Croce PD"</f>
        <v>Rinaldi Combustibili s.n.c. Via Repoise 2 35030 Cervarese Santa Croce PD</v>
      </c>
      <c r="P463" t="str">
        <f>"Z5530EA530: [2294.00€ ]"</f>
        <v>Z5530EA530: [2294.00€ ]</v>
      </c>
      <c r="Q463" t="str">
        <f>""</f>
        <v/>
      </c>
      <c r="R463" t="str">
        <f>""</f>
        <v/>
      </c>
      <c r="S463" t="str">
        <f>""</f>
        <v/>
      </c>
      <c r="T463" t="str">
        <f>"https://portaletrasparenza.consorziobacchiglione.it/dettagli/attodigara/6678/fornitura-n-124-pali-in-castagno-con-punta-lunghi-mt-4-per-bacino-sesta-presa.html"</f>
        <v>https://portaletrasparenza.consorziobacchiglione.it/dettagli/attodigara/6678/fornitura-n-124-pali-in-castagno-con-punta-lunghi-mt-4-per-bacino-sesta-presa.html</v>
      </c>
      <c r="U463" t="str">
        <f>"https://portaletrasparenza.consorziobacchiglione.it/download/attodigara/6678/63ac45668e0be.PDF"</f>
        <v>https://portaletrasparenza.consorziobacchiglione.it/download/attodigara/6678/63ac45668e0be.PDF</v>
      </c>
      <c r="V4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64" spans="1:22" x14ac:dyDescent="0.3">
      <c r="A464" t="str">
        <f>"Affidamento"</f>
        <v>Affidamento</v>
      </c>
      <c r="B464" t="str">
        <f>"Fornitura Rostisol spray rosso-marrone per C.O.S.Margherita."</f>
        <v>Fornitura Rostisol spray rosso-marrone per C.O.S.Margherita.</v>
      </c>
      <c r="C464" t="str">
        <f>"Z6B1958F39"</f>
        <v>Z6B1958F39</v>
      </c>
      <c r="D464" t="str">
        <f>"04/11/2021"</f>
        <v>04/11/2021</v>
      </c>
      <c r="E464" t="str">
        <f>""</f>
        <v/>
      </c>
      <c r="F464" t="str">
        <f>""</f>
        <v/>
      </c>
      <c r="G464" t="str">
        <f>"604.00"</f>
        <v>604.00</v>
      </c>
      <c r="H464" t="str">
        <f>"Consorzio di bonifica Bacchiglione"</f>
        <v>Consorzio di bonifica Bacchiglione</v>
      </c>
      <c r="I464" t="str">
        <f>"92223390284"</f>
        <v>92223390284</v>
      </c>
      <c r="J464" t="str">
        <f>"23-AFFIDAMENTO DIRETTO"</f>
        <v>23-AFFIDAMENTO DIRETTO</v>
      </c>
      <c r="K464" t="str">
        <f>"08/04/2021"</f>
        <v>08/04/2021</v>
      </c>
      <c r="L464" t="str">
        <f>"18/05/2021"</f>
        <v>18/05/2021</v>
      </c>
      <c r="M464" t="str">
        <f>""</f>
        <v/>
      </c>
      <c r="N464" t="str">
        <f>"Aspex S.p.a. Via Balzella 41D int.7 47122 Forli"</f>
        <v>Aspex S.p.a. Via Balzella 41D int.7 47122 Forli</v>
      </c>
      <c r="O464" t="str">
        <f>"Aspex S.p.a. Via Balzella 41D int.7 47122 Forli"</f>
        <v>Aspex S.p.a. Via Balzella 41D int.7 47122 Forli</v>
      </c>
      <c r="P464" t="str">
        <f>"Z6B1958F39: [604.00€ ]"</f>
        <v>Z6B1958F39: [604.00€ ]</v>
      </c>
      <c r="Q464" t="str">
        <f>""</f>
        <v/>
      </c>
      <c r="R464" t="str">
        <f>""</f>
        <v/>
      </c>
      <c r="S464" t="str">
        <f>""</f>
        <v/>
      </c>
      <c r="T464" t="str">
        <f>"https://portaletrasparenza.consorziobacchiglione.it/dettagli/attodigara/311/fornitura-rostisol-spray-rosso-marrone-per-c-o-s-margherita.html"</f>
        <v>https://portaletrasparenza.consorziobacchiglione.it/dettagli/attodigara/311/fornitura-rostisol-spray-rosso-marrone-per-c-o-s-margherita.html</v>
      </c>
      <c r="U464" t="str">
        <f>""</f>
        <v/>
      </c>
      <c r="V4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65" spans="1:22" x14ac:dyDescent="0.3">
      <c r="A465" t="str">
        <f>"Affidamento"</f>
        <v>Affidamento</v>
      </c>
      <c r="B465" t="str">
        <f>"Fornitura materiale edile o di ferramenta per bacino Sesta Presa."</f>
        <v>Fornitura materiale edile o di ferramenta per bacino Sesta Presa.</v>
      </c>
      <c r="C465" t="str">
        <f>"Z121958BD3"</f>
        <v>Z121958BD3</v>
      </c>
      <c r="D465" t="str">
        <f>"04/11/2021"</f>
        <v>04/11/2021</v>
      </c>
      <c r="E465" t="str">
        <f>""</f>
        <v/>
      </c>
      <c r="F465" t="str">
        <f>""</f>
        <v/>
      </c>
      <c r="G465" t="str">
        <f>"542.94"</f>
        <v>542.94</v>
      </c>
      <c r="H465" t="str">
        <f>"Consorzio di bonifica Bacchiglione"</f>
        <v>Consorzio di bonifica Bacchiglione</v>
      </c>
      <c r="I465" t="str">
        <f>"92223390284"</f>
        <v>92223390284</v>
      </c>
      <c r="J465" t="str">
        <f>"23-AFFIDAMENTO DIRETTO"</f>
        <v>23-AFFIDAMENTO DIRETTO</v>
      </c>
      <c r="K465" t="str">
        <f>"08/04/2021"</f>
        <v>08/04/2021</v>
      </c>
      <c r="L465" t="str">
        <f>"26/05/2021"</f>
        <v>26/05/2021</v>
      </c>
      <c r="M465" t="str">
        <f>""</f>
        <v/>
      </c>
      <c r="N465" t="str">
        <f>"Gollo Giovanni Via Vallona 65 35020 Conche di Codevigo PD"</f>
        <v>Gollo Giovanni Via Vallona 65 35020 Conche di Codevigo PD</v>
      </c>
      <c r="O465" t="str">
        <f>"Gollo Giovanni Via Vallona 65 35020 Conche di Codevigo PD"</f>
        <v>Gollo Giovanni Via Vallona 65 35020 Conche di Codevigo PD</v>
      </c>
      <c r="P465" t="str">
        <f>"Z121958BD3: [542.94€ ]"</f>
        <v>Z121958BD3: [542.94€ ]</v>
      </c>
      <c r="Q465" t="str">
        <f>""</f>
        <v/>
      </c>
      <c r="R465" t="str">
        <f>""</f>
        <v/>
      </c>
      <c r="S465" t="str">
        <f>""</f>
        <v/>
      </c>
      <c r="T465" t="str">
        <f>"https://portaletrasparenza.consorziobacchiglione.it/dettagli/attodigara/309/fornitura-materiale-edile-o-di-ferramenta-per-bacino-sesta-presa.html"</f>
        <v>https://portaletrasparenza.consorziobacchiglione.it/dettagli/attodigara/309/fornitura-materiale-edile-o-di-ferramenta-per-bacino-sesta-presa.html</v>
      </c>
      <c r="U465" t="str">
        <f>""</f>
        <v/>
      </c>
      <c r="V4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66" spans="1:22" x14ac:dyDescent="0.3">
      <c r="A466" t="str">
        <f>"Affidamento"</f>
        <v>Affidamento</v>
      </c>
      <c r="B466" t="str">
        <f>"Smontaggio completo Attuatore Drehmo tipo D500-FW-40 Sostegno Canale di Scarico, smontaggio completo motore elettrico e pulizia, pompa del vuoto Robuschi N 3 Idrovora Vaso Cavaizze."</f>
        <v>Smontaggio completo Attuatore Drehmo tipo D500-FW-40 Sostegno Canale di Scarico, smontaggio completo motore elettrico e pulizia, pompa del vuoto Robuschi N 3 Idrovora Vaso Cavaizze.</v>
      </c>
      <c r="C466" t="str">
        <f>"ZB519583CB"</f>
        <v>ZB519583CB</v>
      </c>
      <c r="D466" t="str">
        <f>"04/11/2021"</f>
        <v>04/11/2021</v>
      </c>
      <c r="E466" t="str">
        <f>""</f>
        <v/>
      </c>
      <c r="F466" t="str">
        <f>""</f>
        <v/>
      </c>
      <c r="G466" t="str">
        <f>"1823.00"</f>
        <v>1823.00</v>
      </c>
      <c r="H466" t="str">
        <f>"Consorzio di bonifica Bacchiglione"</f>
        <v>Consorzio di bonifica Bacchiglione</v>
      </c>
      <c r="I466" t="str">
        <f>"92223390284"</f>
        <v>92223390284</v>
      </c>
      <c r="J466" t="str">
        <f>"23-AFFIDAMENTO DIRETTO"</f>
        <v>23-AFFIDAMENTO DIRETTO</v>
      </c>
      <c r="K466" t="str">
        <f>"08/04/2021"</f>
        <v>08/04/2021</v>
      </c>
      <c r="L466" t="str">
        <f>"16/09/2021"</f>
        <v>16/09/2021</v>
      </c>
      <c r="M466" t="str">
        <f>""</f>
        <v/>
      </c>
      <c r="N466" t="str">
        <f>"Scarpa Sergio Elettromeccanica S.n.c. di Scarpa Paola E C. Via A. Vivaldi 7 35028 Piove di Sacco PD"</f>
        <v>Scarpa Sergio Elettromeccanica S.n.c. di Scarpa Paola E C. Via A. Vivaldi 7 35028 Piove di Sacco PD</v>
      </c>
      <c r="O466" t="str">
        <f>"Scarpa Sergio Elettromeccanica S.n.c. di Scarpa Paola E C. Via A. Vivaldi 7 35028 Piove di Sacco PD"</f>
        <v>Scarpa Sergio Elettromeccanica S.n.c. di Scarpa Paola E C. Via A. Vivaldi 7 35028 Piove di Sacco PD</v>
      </c>
      <c r="P466" t="str">
        <f>"ZB519583CB: [1823.00€ ]"</f>
        <v>ZB519583CB: [1823.00€ ]</v>
      </c>
      <c r="Q466" t="str">
        <f>""</f>
        <v/>
      </c>
      <c r="R466" t="str">
        <f>""</f>
        <v/>
      </c>
      <c r="S466" t="str">
        <f>""</f>
        <v/>
      </c>
      <c r="T466" t="s">
        <v>51</v>
      </c>
      <c r="U466" t="str">
        <f>""</f>
        <v/>
      </c>
      <c r="V46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67" spans="1:22" x14ac:dyDescent="0.3">
      <c r="A467" t="str">
        <f>"Affidamento"</f>
        <v>Affidamento</v>
      </c>
      <c r="B467" t="str">
        <f>"Fornitura materiale vario per mezzi Consorziali."</f>
        <v>Fornitura materiale vario per mezzi Consorziali.</v>
      </c>
      <c r="C467" t="str">
        <f>"Z0C1957F6C"</f>
        <v>Z0C1957F6C</v>
      </c>
      <c r="D467" t="str">
        <f>"04/11/2021"</f>
        <v>04/11/2021</v>
      </c>
      <c r="E467" t="str">
        <f>""</f>
        <v/>
      </c>
      <c r="F467" t="str">
        <f>""</f>
        <v/>
      </c>
      <c r="G467" t="str">
        <f>"235.69"</f>
        <v>235.69</v>
      </c>
      <c r="H467" t="str">
        <f>"Consorzio di bonifica Bacchiglione"</f>
        <v>Consorzio di bonifica Bacchiglione</v>
      </c>
      <c r="I467" t="str">
        <f>"92223390284"</f>
        <v>92223390284</v>
      </c>
      <c r="J467" t="str">
        <f>"23-AFFIDAMENTO DIRETTO"</f>
        <v>23-AFFIDAMENTO DIRETTO</v>
      </c>
      <c r="K467" t="str">
        <f>"08/04/2021"</f>
        <v>08/04/2021</v>
      </c>
      <c r="L467" t="str">
        <f>"03/05/2021"</f>
        <v>03/05/2021</v>
      </c>
      <c r="M467" t="str">
        <f>""</f>
        <v/>
      </c>
      <c r="N467" t="str">
        <f>"Autoricambi s.n.c. di Mardegan Paolo e Manfron Veronica Via A.Valerio 26-28 Piove di Sacco PD"</f>
        <v>Autoricambi s.n.c. di Mardegan Paolo e Manfron Veronica Via A.Valerio 26-28 Piove di Sacco PD</v>
      </c>
      <c r="O467" t="str">
        <f>"Autoricambi s.n.c. di Mardegan Paolo e Manfron Veronica Via A.Valerio 26-28 Piove di Sacco PD"</f>
        <v>Autoricambi s.n.c. di Mardegan Paolo e Manfron Veronica Via A.Valerio 26-28 Piove di Sacco PD</v>
      </c>
      <c r="P467" t="str">
        <f>"Z0C1957F6C: [235.69€ ]"</f>
        <v>Z0C1957F6C: [235.69€ ]</v>
      </c>
      <c r="Q467" t="str">
        <f>""</f>
        <v/>
      </c>
      <c r="R467" t="str">
        <f>""</f>
        <v/>
      </c>
      <c r="S467" t="str">
        <f>""</f>
        <v/>
      </c>
      <c r="T467" t="str">
        <f>"https://portaletrasparenza.consorziobacchiglione.it/dettagli/attodigara/307/fornitura-materiale-vario-per-mezzi-consorziali.html"</f>
        <v>https://portaletrasparenza.consorziobacchiglione.it/dettagli/attodigara/307/fornitura-materiale-vario-per-mezzi-consorziali.html</v>
      </c>
      <c r="U467" t="str">
        <f>""</f>
        <v/>
      </c>
      <c r="V46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68" spans="1:22" x14ac:dyDescent="0.3">
      <c r="A468" t="str">
        <f>"Affidamento"</f>
        <v>Affidamento</v>
      </c>
      <c r="B468" t="str">
        <f>"Trasporto terreno vegetale dallo scolo Cornio di Campagna Lupia all'Idrovora Vaso Cavaizze e spostamento escavatore cingolato."</f>
        <v>Trasporto terreno vegetale dallo scolo Cornio di Campagna Lupia all'Idrovora Vaso Cavaizze e spostamento escavatore cingolato.</v>
      </c>
      <c r="C468" t="str">
        <f>"Z9C1956A6D"</f>
        <v>Z9C1956A6D</v>
      </c>
      <c r="D468" t="str">
        <f>"04/11/2021"</f>
        <v>04/11/2021</v>
      </c>
      <c r="E468" t="str">
        <f>""</f>
        <v/>
      </c>
      <c r="F468" t="str">
        <f>""</f>
        <v/>
      </c>
      <c r="G468" t="str">
        <f>"415.00"</f>
        <v>415.00</v>
      </c>
      <c r="H468" t="str">
        <f>"Consorzio di bonifica Bacchiglione"</f>
        <v>Consorzio di bonifica Bacchiglione</v>
      </c>
      <c r="I468" t="str">
        <f>"92223390284"</f>
        <v>92223390284</v>
      </c>
      <c r="J468" t="str">
        <f>"23-AFFIDAMENTO DIRETTO"</f>
        <v>23-AFFIDAMENTO DIRETTO</v>
      </c>
      <c r="K468" t="str">
        <f>"08/04/2021"</f>
        <v>08/04/2021</v>
      </c>
      <c r="L468" t="str">
        <f>"18/05/2021"</f>
        <v>18/05/2021</v>
      </c>
      <c r="M468" t="str">
        <f>""</f>
        <v/>
      </c>
      <c r="N468" t="str">
        <f>"Trovò s.r.l. Via Idrovora, 3 - 35020 Codevigo (PD)"</f>
        <v>Trovò s.r.l. Via Idrovora, 3 - 35020 Codevigo (PD)</v>
      </c>
      <c r="O468" t="str">
        <f>"Trovò s.r.l. Via Idrovora, 3 - 35020 Codevigo (PD)"</f>
        <v>Trovò s.r.l. Via Idrovora, 3 - 35020 Codevigo (PD)</v>
      </c>
      <c r="P468" t="str">
        <f>"Z9C1956A6D: [415.00€ ]"</f>
        <v>Z9C1956A6D: [415.00€ ]</v>
      </c>
      <c r="Q468" t="str">
        <f>""</f>
        <v/>
      </c>
      <c r="R468" t="str">
        <f>""</f>
        <v/>
      </c>
      <c r="S468" t="str">
        <f>""</f>
        <v/>
      </c>
      <c r="T468" t="str">
        <f>"https://portaletrasparenza.consorziobacchiglione.it/dettagli/attodigara/306/trasporto-terreno-vegetale-dallo-scolo-cornio-di-campagna-lupia-all-idrovora-vaso-cavaizze-e-spostamento-escavatore-cingolato.html"</f>
        <v>https://portaletrasparenza.consorziobacchiglione.it/dettagli/attodigara/306/trasporto-terreno-vegetale-dallo-scolo-cornio-di-campagna-lupia-all-idrovora-vaso-cavaizze-e-spostamento-escavatore-cingolato.html</v>
      </c>
      <c r="U468" t="str">
        <f>""</f>
        <v/>
      </c>
      <c r="V4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69" spans="1:22" x14ac:dyDescent="0.3">
      <c r="A469" t="str">
        <f>"Affidamento"</f>
        <v>Affidamento</v>
      </c>
      <c r="B469" t="str">
        <f>"Fornitura materiale edile per Scolo Corriva e scolo Bolzani."</f>
        <v>Fornitura materiale edile per Scolo Corriva e scolo Bolzani.</v>
      </c>
      <c r="C469" t="str">
        <f>"Z971958D5B"</f>
        <v>Z971958D5B</v>
      </c>
      <c r="D469" t="str">
        <f>"04/11/2021"</f>
        <v>04/11/2021</v>
      </c>
      <c r="E469" t="str">
        <f>""</f>
        <v/>
      </c>
      <c r="F469" t="str">
        <f>""</f>
        <v/>
      </c>
      <c r="G469" t="str">
        <f>"2359.27"</f>
        <v>2359.27</v>
      </c>
      <c r="H469" t="str">
        <f>"Consorzio di bonifica Bacchiglione"</f>
        <v>Consorzio di bonifica Bacchiglione</v>
      </c>
      <c r="I469" t="str">
        <f>"92223390284"</f>
        <v>92223390284</v>
      </c>
      <c r="J469" t="str">
        <f>"23-AFFIDAMENTO DIRETTO"</f>
        <v>23-AFFIDAMENTO DIRETTO</v>
      </c>
      <c r="K469" t="str">
        <f>"08/04/2021"</f>
        <v>08/04/2021</v>
      </c>
      <c r="L469" t="str">
        <f>"26/05/2021"</f>
        <v>26/05/2021</v>
      </c>
      <c r="M469" t="str">
        <f>""</f>
        <v/>
      </c>
      <c r="N469" t="str">
        <f>"Materiali Edili Fratelli Donà s.a.s. Via Fossalta 2 35025 Cartura PD"</f>
        <v>Materiali Edili Fratelli Donà s.a.s. Via Fossalta 2 35025 Cartura PD</v>
      </c>
      <c r="O469" t="str">
        <f>"Materiali Edili Fratelli Donà s.a.s. Via Fossalta 2 35025 Cartura PD"</f>
        <v>Materiali Edili Fratelli Donà s.a.s. Via Fossalta 2 35025 Cartura PD</v>
      </c>
      <c r="P469" t="str">
        <f>"Z971958D5B: [2349.63€ ]"</f>
        <v>Z971958D5B: [2349.63€ ]</v>
      </c>
      <c r="Q469" t="str">
        <f>""</f>
        <v/>
      </c>
      <c r="R469" t="str">
        <f>""</f>
        <v/>
      </c>
      <c r="S469" t="str">
        <f>""</f>
        <v/>
      </c>
      <c r="T469" t="str">
        <f>"https://portaletrasparenza.consorziobacchiglione.it/dettagli/attodigara/310/fornitura-materiale-edile-per-scolo-corriva-e-scolo-bolzani.html"</f>
        <v>https://portaletrasparenza.consorziobacchiglione.it/dettagli/attodigara/310/fornitura-materiale-edile-per-scolo-corriva-e-scolo-bolzani.html</v>
      </c>
      <c r="U469" t="str">
        <f>""</f>
        <v/>
      </c>
      <c r="V469">
        <f>(SUBSTITUTE(Tabella1[[#This Row],[Importo di aggiudicazione]],".",","))-(SUBSTITUTE(  SUBSTITUTE(          SUBSTITUTE(Tabella1[[#This Row],[Dettaglio somme liquidate]],Tabella1[[#This Row],[CIG]]&amp;": [",""),"€ ]",""),".",","))</f>
        <v>9.6399999999998727</v>
      </c>
    </row>
    <row r="470" spans="1:22" x14ac:dyDescent="0.3">
      <c r="A470" t="str">
        <f>"Affidamento"</f>
        <v>Affidamento</v>
      </c>
      <c r="B470" t="str">
        <f>"Fornitura materiale vario per biennio 2021 - 2022 Bacino Pratiarcati e Montà Portello"</f>
        <v>Fornitura materiale vario per biennio 2021 - 2022 Bacino Pratiarcati e Montà Portello</v>
      </c>
      <c r="C470" t="str">
        <f>"Z9B3146326"</f>
        <v>Z9B3146326</v>
      </c>
      <c r="D470" t="str">
        <f>"08/04/2021"</f>
        <v>08/04/2021</v>
      </c>
      <c r="E470" t="str">
        <f>""</f>
        <v/>
      </c>
      <c r="F470" t="str">
        <f>""</f>
        <v/>
      </c>
      <c r="G470" t="str">
        <f>"10000.00"</f>
        <v>10000.00</v>
      </c>
      <c r="H470" t="str">
        <f>"Consorzio di bonifica Bacchiglione"</f>
        <v>Consorzio di bonifica Bacchiglione</v>
      </c>
      <c r="I470" t="str">
        <f>"92223390284"</f>
        <v>92223390284</v>
      </c>
      <c r="J470" t="str">
        <f>"23-AFFIDAMENTO DIRETTO"</f>
        <v>23-AFFIDAMENTO DIRETTO</v>
      </c>
      <c r="K470" t="str">
        <f>"08/04/2021"</f>
        <v>08/04/2021</v>
      </c>
      <c r="L470" t="str">
        <f>"15/04/2022"</f>
        <v>15/04/2022</v>
      </c>
      <c r="M470" t="str">
        <f>""</f>
        <v/>
      </c>
      <c r="N470" t="str">
        <f>"Materiali Edili Fratelli Donà s.a.s. Via Fossalta 2 35025 Cartura PD"</f>
        <v>Materiali Edili Fratelli Donà s.a.s. Via Fossalta 2 35025 Cartura PD</v>
      </c>
      <c r="O470" t="str">
        <f>"Materiali Edili Fratelli Donà s.a.s. Via Fossalta 2 35025 Cartura PD"</f>
        <v>Materiali Edili Fratelli Donà s.a.s. Via Fossalta 2 35025 Cartura PD</v>
      </c>
      <c r="P470" t="s">
        <v>228</v>
      </c>
      <c r="Q470" t="str">
        <f>""</f>
        <v/>
      </c>
      <c r="R470" t="str">
        <f>""</f>
        <v/>
      </c>
      <c r="S470" t="str">
        <f>""</f>
        <v/>
      </c>
      <c r="T470" t="str">
        <f>"https://portaletrasparenza.consorziobacchiglione.it/dettagli/attodigara/6779/fornitura-materiale-vario-per-biennio-2021-2022-bacino-pratiarcati-e-monta-portello.html"</f>
        <v>https://portaletrasparenza.consorziobacchiglione.it/dettagli/attodigara/6779/fornitura-materiale-vario-per-biennio-2021-2022-bacino-pratiarcati-e-monta-portello.html</v>
      </c>
      <c r="U470" t="str">
        <f>"https://portaletrasparenza.consorziobacchiglione.it/download/attodigara/6779/63ac457b0de0b.PDF"</f>
        <v>https://portaletrasparenza.consorziobacchiglione.it/download/attodigara/6779/63ac457b0de0b.PDF</v>
      </c>
      <c r="V47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71" spans="1:22" x14ac:dyDescent="0.3">
      <c r="A471" t="str">
        <f>"Affidamento"</f>
        <v>Affidamento</v>
      </c>
      <c r="B471" t="str">
        <f>"Lavoro di ripresa spondale presso lo scolo Orsaro in comune di Ponte S.Nicolò (PD)"</f>
        <v>Lavoro di ripresa spondale presso lo scolo Orsaro in comune di Ponte S.Nicolò (PD)</v>
      </c>
      <c r="C471" t="str">
        <f>"ZC63148E1D"</f>
        <v>ZC63148E1D</v>
      </c>
      <c r="D471" t="str">
        <f>"08/04/2021"</f>
        <v>08/04/2021</v>
      </c>
      <c r="E471" t="str">
        <f>""</f>
        <v/>
      </c>
      <c r="F471" t="str">
        <f>""</f>
        <v/>
      </c>
      <c r="G471" t="str">
        <f>"3081.76"</f>
        <v>3081.76</v>
      </c>
      <c r="H471" t="str">
        <f>"Consorzio di bonifica Bacchiglione"</f>
        <v>Consorzio di bonifica Bacchiglione</v>
      </c>
      <c r="I471" t="str">
        <f>"92223390284"</f>
        <v>92223390284</v>
      </c>
      <c r="J471" t="str">
        <f>"23-AFFIDAMENTO DIRETTO"</f>
        <v>23-AFFIDAMENTO DIRETTO</v>
      </c>
      <c r="K471" t="str">
        <f>"08/04/2021"</f>
        <v>08/04/2021</v>
      </c>
      <c r="L471" t="str">
        <f>"15/04/2021"</f>
        <v>15/04/2021</v>
      </c>
      <c r="M471" t="str">
        <f>""</f>
        <v/>
      </c>
      <c r="N471" t="str">
        <f>"L.R.Scavi Srl Via Germania 16 int.3 35010 Vigonza (PD)"</f>
        <v>L.R.Scavi Srl Via Germania 16 int.3 35010 Vigonza (PD)</v>
      </c>
      <c r="O471" t="str">
        <f>"L.R.Scavi Srl Via Germania 16 int.3 35010 Vigonza (PD)"</f>
        <v>L.R.Scavi Srl Via Germania 16 int.3 35010 Vigonza (PD)</v>
      </c>
      <c r="P471" t="str">
        <f>"ZC63148E1D: [3081.76€ ]"</f>
        <v>ZC63148E1D: [3081.76€ ]</v>
      </c>
      <c r="Q471" t="str">
        <f>""</f>
        <v/>
      </c>
      <c r="R471" t="str">
        <f>""</f>
        <v/>
      </c>
      <c r="S471" t="str">
        <f>""</f>
        <v/>
      </c>
      <c r="T471" t="str">
        <f>"https://portaletrasparenza.consorziobacchiglione.it/dettagli/attodigara/6781/lavoro-di-ripresa-spondale-presso-lo-scolo-orsaro-in-comune-di-ponte-s-nicolo-pd.html"</f>
        <v>https://portaletrasparenza.consorziobacchiglione.it/dettagli/attodigara/6781/lavoro-di-ripresa-spondale-presso-lo-scolo-orsaro-in-comune-di-ponte-s-nicolo-pd.html</v>
      </c>
      <c r="U471" t="str">
        <f>"https://portaletrasparenza.consorziobacchiglione.it/download/attodigara/6781/63ac457b7f03a.PDF"</f>
        <v>https://portaletrasparenza.consorziobacchiglione.it/download/attodigara/6781/63ac457b7f03a.PDF</v>
      </c>
      <c r="V47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72" spans="1:22" x14ac:dyDescent="0.3">
      <c r="A472" t="str">
        <f>"Affidamento"</f>
        <v>Affidamento</v>
      </c>
      <c r="B472" t="str">
        <f>"Fornitura nuova pompa a mano PMDVB 12-S per C.O.Bovolenta"</f>
        <v>Fornitura nuova pompa a mano PMDVB 12-S per C.O.Bovolenta</v>
      </c>
      <c r="C472" t="str">
        <f>"Z9931485E8"</f>
        <v>Z9931485E8</v>
      </c>
      <c r="D472" t="str">
        <f>"08/04/2021"</f>
        <v>08/04/2021</v>
      </c>
      <c r="E472" t="str">
        <f>""</f>
        <v/>
      </c>
      <c r="F472" t="str">
        <f>""</f>
        <v/>
      </c>
      <c r="G472" t="str">
        <f>"137.37"</f>
        <v>137.37</v>
      </c>
      <c r="H472" t="str">
        <f>"Consorzio di bonifica Bacchiglione"</f>
        <v>Consorzio di bonifica Bacchiglione</v>
      </c>
      <c r="I472" t="str">
        <f>"92223390284"</f>
        <v>92223390284</v>
      </c>
      <c r="J472" t="str">
        <f>"23-AFFIDAMENTO DIRETTO"</f>
        <v>23-AFFIDAMENTO DIRETTO</v>
      </c>
      <c r="K472" t="str">
        <f>"08/04/2021"</f>
        <v>08/04/2021</v>
      </c>
      <c r="L472" t="str">
        <f>"07/06/2021"</f>
        <v>07/06/2021</v>
      </c>
      <c r="M472" t="str">
        <f>""</f>
        <v/>
      </c>
      <c r="N472" t="str">
        <f>"Polytec S.R.L. Via Canova, 6-8 35020 S.Angelo di Piove di Sacco (PD)"</f>
        <v>Polytec S.R.L. Via Canova, 6-8 35020 S.Angelo di Piove di Sacco (PD)</v>
      </c>
      <c r="O472" t="str">
        <f>"Polytec S.R.L. Via Canova, 6-8 35020 S.Angelo di Piove di Sacco (PD)"</f>
        <v>Polytec S.R.L. Via Canova, 6-8 35020 S.Angelo di Piove di Sacco (PD)</v>
      </c>
      <c r="P472" t="str">
        <f>"Z9931485E8: [137.37€ ]"</f>
        <v>Z9931485E8: [137.37€ ]</v>
      </c>
      <c r="Q472" t="str">
        <f>""</f>
        <v/>
      </c>
      <c r="R472" t="str">
        <f>""</f>
        <v/>
      </c>
      <c r="S472" t="str">
        <f>""</f>
        <v/>
      </c>
      <c r="T472" t="str">
        <f>"https://portaletrasparenza.consorziobacchiglione.it/dettagli/attodigara/6780/fornitura-nuova-pompa-a-mano-pmdvb-12-s-per-c-o-bovolenta.html"</f>
        <v>https://portaletrasparenza.consorziobacchiglione.it/dettagli/attodigara/6780/fornitura-nuova-pompa-a-mano-pmdvb-12-s-per-c-o-bovolenta.html</v>
      </c>
      <c r="U472" t="str">
        <f>"https://portaletrasparenza.consorziobacchiglione.it/download/attodigara/6780/63ac457b46996.PDF"</f>
        <v>https://portaletrasparenza.consorziobacchiglione.it/download/attodigara/6780/63ac457b46996.PDF</v>
      </c>
      <c r="V47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73" spans="1:22" x14ac:dyDescent="0.3">
      <c r="A473" t="str">
        <f>"Affidamento"</f>
        <v>Affidamento</v>
      </c>
      <c r="B473" t="str">
        <f>"Recupero trattore Valtra targato: AKS681 in località Lova"</f>
        <v>Recupero trattore Valtra targato: AKS681 in località Lova</v>
      </c>
      <c r="C473" t="str">
        <f>"Z20314654B"</f>
        <v>Z20314654B</v>
      </c>
      <c r="D473" t="str">
        <f>"08/04/2021"</f>
        <v>08/04/2021</v>
      </c>
      <c r="E473" t="str">
        <f>""</f>
        <v/>
      </c>
      <c r="F473" t="str">
        <f>""</f>
        <v/>
      </c>
      <c r="G473" t="str">
        <f>"500.00"</f>
        <v>500.00</v>
      </c>
      <c r="H473" t="str">
        <f>"Consorzio di bonifica Bacchiglione"</f>
        <v>Consorzio di bonifica Bacchiglione</v>
      </c>
      <c r="I473" t="str">
        <f>"92223390284"</f>
        <v>92223390284</v>
      </c>
      <c r="J473" t="str">
        <f>"23-AFFIDAMENTO DIRETTO"</f>
        <v>23-AFFIDAMENTO DIRETTO</v>
      </c>
      <c r="K473" t="str">
        <f>"08/04/2021"</f>
        <v>08/04/2021</v>
      </c>
      <c r="L473" t="str">
        <f>"19/04/2021"</f>
        <v>19/04/2021</v>
      </c>
      <c r="M473" t="str">
        <f>""</f>
        <v/>
      </c>
      <c r="N473" t="str">
        <f>"Carrozzeria Biasion S.N.C. Via Bassa 45 35020 Arzergrande PD"</f>
        <v>Carrozzeria Biasion S.N.C. Via Bassa 45 35020 Arzergrande PD</v>
      </c>
      <c r="O473" t="str">
        <f>"Carrozzeria Biasion S.N.C. Via Bassa 45 35020 Arzergrande PD"</f>
        <v>Carrozzeria Biasion S.N.C. Via Bassa 45 35020 Arzergrande PD</v>
      </c>
      <c r="P473" t="str">
        <f>"Z20314654B: [500.00€ ]"</f>
        <v>Z20314654B: [500.00€ ]</v>
      </c>
      <c r="Q473" t="str">
        <f>""</f>
        <v/>
      </c>
      <c r="R473" t="str">
        <f>""</f>
        <v/>
      </c>
      <c r="S473" t="str">
        <f>""</f>
        <v/>
      </c>
      <c r="T473" t="str">
        <f>"https://portaletrasparenza.consorziobacchiglione.it/dettagli/attodigara/6778/recupero-trattore-valtra-targato-aks681-in-localita-lova.html"</f>
        <v>https://portaletrasparenza.consorziobacchiglione.it/dettagli/attodigara/6778/recupero-trattore-valtra-targato-aks681-in-localita-lova.html</v>
      </c>
      <c r="U473" t="str">
        <f>"https://portaletrasparenza.consorziobacchiglione.it/download/attodigara/6778/63ac457ac9427.PDF"</f>
        <v>https://portaletrasparenza.consorziobacchiglione.it/download/attodigara/6778/63ac457ac9427.PDF</v>
      </c>
      <c r="V47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74" spans="1:22" x14ac:dyDescent="0.3">
      <c r="A474" t="str">
        <f>"Affidamento"</f>
        <v>Affidamento</v>
      </c>
      <c r="B474" t="str">
        <f>"Fornitura ricambi per lame barra falciante presso Bacino Montà Portello e Pratiarcati"</f>
        <v>Fornitura ricambi per lame barra falciante presso Bacino Montà Portello e Pratiarcati</v>
      </c>
      <c r="C474" t="str">
        <f>"Z9F3145A6C"</f>
        <v>Z9F3145A6C</v>
      </c>
      <c r="D474" t="str">
        <f>"08/04/2021"</f>
        <v>08/04/2021</v>
      </c>
      <c r="E474" t="str">
        <f>""</f>
        <v/>
      </c>
      <c r="F474" t="str">
        <f>""</f>
        <v/>
      </c>
      <c r="G474" t="str">
        <f>"544.50"</f>
        <v>544.50</v>
      </c>
      <c r="H474" t="str">
        <f>"Consorzio di bonifica Bacchiglione"</f>
        <v>Consorzio di bonifica Bacchiglione</v>
      </c>
      <c r="I474" t="str">
        <f>"92223390284"</f>
        <v>92223390284</v>
      </c>
      <c r="J474" t="str">
        <f>"23-AFFIDAMENTO DIRETTO"</f>
        <v>23-AFFIDAMENTO DIRETTO</v>
      </c>
      <c r="K474" t="str">
        <f>"08/04/2021"</f>
        <v>08/04/2021</v>
      </c>
      <c r="L474" t="str">
        <f>"16/04/2021"</f>
        <v>16/04/2021</v>
      </c>
      <c r="M474" t="str">
        <f>""</f>
        <v/>
      </c>
      <c r="N474" t="str">
        <f>"Eredi di Stivanello Sergio S.a.s. Via Padova 156 35025 Cartura PD"</f>
        <v>Eredi di Stivanello Sergio S.a.s. Via Padova 156 35025 Cartura PD</v>
      </c>
      <c r="O474" t="str">
        <f>"Eredi di Stivanello Sergio S.a.s. Via Padova 156 35025 Cartura PD"</f>
        <v>Eredi di Stivanello Sergio S.a.s. Via Padova 156 35025 Cartura PD</v>
      </c>
      <c r="P474" t="str">
        <f>"Z9F3145A6C: [544.50€ ]"</f>
        <v>Z9F3145A6C: [544.50€ ]</v>
      </c>
      <c r="Q474" t="str">
        <f>""</f>
        <v/>
      </c>
      <c r="R474" t="str">
        <f>""</f>
        <v/>
      </c>
      <c r="S474" t="str">
        <f>""</f>
        <v/>
      </c>
      <c r="T474" t="str">
        <f>"https://portaletrasparenza.consorziobacchiglione.it/dettagli/attodigara/6777/fornitura-ricambi-per-lame-barra-falciante-presso-bacino-monta-portello-e-pratiarcati.html"</f>
        <v>https://portaletrasparenza.consorziobacchiglione.it/dettagli/attodigara/6777/fornitura-ricambi-per-lame-barra-falciante-presso-bacino-monta-portello-e-pratiarcati.html</v>
      </c>
      <c r="U474" t="str">
        <f>"https://portaletrasparenza.consorziobacchiglione.it/download/attodigara/6777/63ac457a905fe.PDF"</f>
        <v>https://portaletrasparenza.consorziobacchiglione.it/download/attodigara/6777/63ac457a905fe.PDF</v>
      </c>
      <c r="V47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75" spans="1:22" x14ac:dyDescent="0.3">
      <c r="A475" t="str">
        <f>"Affidamento"</f>
        <v>Affidamento</v>
      </c>
      <c r="B475" t="str">
        <f>"Noleggio miniescavatore Volvo ECR 88D per lavori presso Scolo Brentella"</f>
        <v>Noleggio miniescavatore Volvo ECR 88D per lavori presso Scolo Brentella</v>
      </c>
      <c r="C475" t="str">
        <f>"ZC2314571C"</f>
        <v>ZC2314571C</v>
      </c>
      <c r="D475" t="str">
        <f>"08/04/2021"</f>
        <v>08/04/2021</v>
      </c>
      <c r="E475" t="str">
        <f>""</f>
        <v/>
      </c>
      <c r="F475" t="str">
        <f>""</f>
        <v/>
      </c>
      <c r="G475" t="str">
        <f>"1300.05"</f>
        <v>1300.05</v>
      </c>
      <c r="H475" t="str">
        <f>"Consorzio di bonifica Bacchiglione"</f>
        <v>Consorzio di bonifica Bacchiglione</v>
      </c>
      <c r="I475" t="str">
        <f>"92223390284"</f>
        <v>92223390284</v>
      </c>
      <c r="J475" t="str">
        <f>"23-AFFIDAMENTO DIRETTO"</f>
        <v>23-AFFIDAMENTO DIRETTO</v>
      </c>
      <c r="K475" t="str">
        <f>"08/04/2021"</f>
        <v>08/04/2021</v>
      </c>
      <c r="L475" t="str">
        <f>"27/04/2021"</f>
        <v>27/04/2021</v>
      </c>
      <c r="M475" t="str">
        <f>""</f>
        <v/>
      </c>
      <c r="N475" t="str">
        <f>"Foredil S.r.l. Via E.Fermi, 22 - 35030 Sarmeola di Rubano (PD)"</f>
        <v>Foredil S.r.l. Via E.Fermi, 22 - 35030 Sarmeola di Rubano (PD)</v>
      </c>
      <c r="O475" t="str">
        <f>"Foredil S.r.l. Via E.Fermi, 22 - 35030 Sarmeola di Rubano (PD)"</f>
        <v>Foredil S.r.l. Via E.Fermi, 22 - 35030 Sarmeola di Rubano (PD)</v>
      </c>
      <c r="P475" t="str">
        <f>"ZC2314571C: [1300.05€ ]"</f>
        <v>ZC2314571C: [1300.05€ ]</v>
      </c>
      <c r="Q475" t="str">
        <f>""</f>
        <v/>
      </c>
      <c r="R475" t="str">
        <f>""</f>
        <v/>
      </c>
      <c r="S475" t="str">
        <f>""</f>
        <v/>
      </c>
      <c r="T475" t="str">
        <f>"https://portaletrasparenza.consorziobacchiglione.it/dettagli/attodigara/6776/noleggio-miniescavatore-volvo-ecr-88d-per-lavori-presso-scolo-brentella.html"</f>
        <v>https://portaletrasparenza.consorziobacchiglione.it/dettagli/attodigara/6776/noleggio-miniescavatore-volvo-ecr-88d-per-lavori-presso-scolo-brentella.html</v>
      </c>
      <c r="U475" t="str">
        <f>"https://portaletrasparenza.consorziobacchiglione.it/download/attodigara/6776/63ac457a5787a.PDF"</f>
        <v>https://portaletrasparenza.consorziobacchiglione.it/download/attodigara/6776/63ac457a5787a.PDF</v>
      </c>
      <c r="V47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76" spans="1:22" x14ac:dyDescent="0.3">
      <c r="A476" t="str">
        <f>"Affidamento"</f>
        <v>Affidamento</v>
      </c>
      <c r="B476" t="str">
        <f>"Lavoro di riparazione anta cancello danneggiata dalla ditta Valmorbida Elio presso Idrovora di Bovolenta"</f>
        <v>Lavoro di riparazione anta cancello danneggiata dalla ditta Valmorbida Elio presso Idrovora di Bovolenta</v>
      </c>
      <c r="C476" t="str">
        <f>"Z761A34F21"</f>
        <v>Z761A34F21</v>
      </c>
      <c r="D476" t="str">
        <f>"04/11/2021"</f>
        <v>04/11/2021</v>
      </c>
      <c r="E476" t="str">
        <f>""</f>
        <v/>
      </c>
      <c r="F476" t="str">
        <f>""</f>
        <v/>
      </c>
      <c r="G476" t="str">
        <f>"700.00"</f>
        <v>700.00</v>
      </c>
      <c r="H476" t="str">
        <f>"Consorzio di bonifica Bacchiglione"</f>
        <v>Consorzio di bonifica Bacchiglione</v>
      </c>
      <c r="I476" t="str">
        <f>"92223390284"</f>
        <v>92223390284</v>
      </c>
      <c r="J476" t="str">
        <f>"23-AFFIDAMENTO DIRETTO"</f>
        <v>23-AFFIDAMENTO DIRETTO</v>
      </c>
      <c r="K476" t="str">
        <f>"08/06/2021"</f>
        <v>08/06/2021</v>
      </c>
      <c r="L476" t="str">
        <f>"15/11/2021"</f>
        <v>15/11/2021</v>
      </c>
      <c r="M476" t="str">
        <f>""</f>
        <v/>
      </c>
      <c r="N476" t="str">
        <f>"Convento Claudio Via III^ Strada 3 Z.A. 30010 Campolongo Maggiore VE"</f>
        <v>Convento Claudio Via III^ Strada 3 Z.A. 30010 Campolongo Maggiore VE</v>
      </c>
      <c r="O476" t="str">
        <f>"Convento Claudio Via III^ Strada 3 Z.A. 30010 Campolongo Maggiore VE"</f>
        <v>Convento Claudio Via III^ Strada 3 Z.A. 30010 Campolongo Maggiore VE</v>
      </c>
      <c r="P476" t="str">
        <f>"Z761A34F21: [700.00€ ]"</f>
        <v>Z761A34F21: [700.00€ ]</v>
      </c>
      <c r="Q476" t="str">
        <f>""</f>
        <v/>
      </c>
      <c r="R476" t="str">
        <f>""</f>
        <v/>
      </c>
      <c r="S476" t="str">
        <f>""</f>
        <v/>
      </c>
      <c r="T476" t="str">
        <f>"https://portaletrasparenza.consorziobacchiglione.it/dettagli/attodigara/511/lavoro-di-riparazione-anta-cancello-danneggiata-dalla-ditta-valmorbida-elio-presso-idrovora-di-bovolenta.html"</f>
        <v>https://portaletrasparenza.consorziobacchiglione.it/dettagli/attodigara/511/lavoro-di-riparazione-anta-cancello-danneggiata-dalla-ditta-valmorbida-elio-presso-idrovora-di-bovolenta.html</v>
      </c>
      <c r="U476" t="str">
        <f>""</f>
        <v/>
      </c>
      <c r="V47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77" spans="1:22" x14ac:dyDescent="0.3">
      <c r="A477" t="str">
        <f>"Affidamento"</f>
        <v>Affidamento</v>
      </c>
      <c r="B477" t="str">
        <f>"Incarico per redazione Piano di Sicurezza (CSP) - Processo ID 021-16."</f>
        <v>Incarico per redazione Piano di Sicurezza (CSP) - Processo ID 021-16.</v>
      </c>
      <c r="C477" t="str">
        <f>"Z801A37715"</f>
        <v>Z801A37715</v>
      </c>
      <c r="D477" t="str">
        <f>"04/11/2021"</f>
        <v>04/11/2021</v>
      </c>
      <c r="E477" t="str">
        <f>""</f>
        <v/>
      </c>
      <c r="F477" t="str">
        <f>""</f>
        <v/>
      </c>
      <c r="G477" t="str">
        <f>"936.00"</f>
        <v>936.00</v>
      </c>
      <c r="H477" t="str">
        <f>"Consorzio di bonifica Bacchiglione"</f>
        <v>Consorzio di bonifica Bacchiglione</v>
      </c>
      <c r="I477" t="str">
        <f>"92223390284"</f>
        <v>92223390284</v>
      </c>
      <c r="J477" t="str">
        <f>"23-AFFIDAMENTO DIRETTO"</f>
        <v>23-AFFIDAMENTO DIRETTO</v>
      </c>
      <c r="K477" t="str">
        <f>"08/06/2021"</f>
        <v>08/06/2021</v>
      </c>
      <c r="L477" t="str">
        <f>"04/07/2021"</f>
        <v>04/07/2021</v>
      </c>
      <c r="M477" t="str">
        <f>""</f>
        <v/>
      </c>
      <c r="N477" t="str">
        <f>"Marco Bizzotto Srl"</f>
        <v>Marco Bizzotto Srl</v>
      </c>
      <c r="O477" t="str">
        <f>"Marco Bizzotto Srl"</f>
        <v>Marco Bizzotto Srl</v>
      </c>
      <c r="P477" t="str">
        <f>"Z801A37715: [936.00€ ]"</f>
        <v>Z801A37715: [936.00€ ]</v>
      </c>
      <c r="Q477" t="str">
        <f>""</f>
        <v/>
      </c>
      <c r="R477" t="str">
        <f>""</f>
        <v/>
      </c>
      <c r="S477" t="str">
        <f>""</f>
        <v/>
      </c>
      <c r="T477" t="str">
        <f>"https://portaletrasparenza.consorziobacchiglione.it/dettagli/attodigara/510/incarico-per-redazione-piano-di-sicurezza-csp-processo-id-021-16.html"</f>
        <v>https://portaletrasparenza.consorziobacchiglione.it/dettagli/attodigara/510/incarico-per-redazione-piano-di-sicurezza-csp-processo-id-021-16.html</v>
      </c>
      <c r="U477" t="str">
        <f>""</f>
        <v/>
      </c>
      <c r="V4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78" spans="1:22" x14ac:dyDescent="0.3">
      <c r="A478" t="str">
        <f>"Affidamento"</f>
        <v>Affidamento</v>
      </c>
      <c r="B478" t="str">
        <f>"Pagamento preventivo per nuova fornitura presso Via Montello a Saccolongo per alimentazione impianto a protezione catodica (3KW BT Monofase). - Processo ID 007-03."</f>
        <v>Pagamento preventivo per nuova fornitura presso Via Montello a Saccolongo per alimentazione impianto a protezione catodica (3KW BT Monofase). - Processo ID 007-03.</v>
      </c>
      <c r="C478" t="str">
        <f>"Z681A36FA2"</f>
        <v>Z681A36FA2</v>
      </c>
      <c r="D478" t="str">
        <f>"04/11/2021"</f>
        <v>04/11/2021</v>
      </c>
      <c r="E478" t="str">
        <f>""</f>
        <v/>
      </c>
      <c r="F478" t="str">
        <f>""</f>
        <v/>
      </c>
      <c r="G478" t="str">
        <f>"440.40"</f>
        <v>440.40</v>
      </c>
      <c r="H478" t="str">
        <f>"Consorzio di bonifica Bacchiglione"</f>
        <v>Consorzio di bonifica Bacchiglione</v>
      </c>
      <c r="I478" t="str">
        <f>"92223390284"</f>
        <v>92223390284</v>
      </c>
      <c r="J478" t="str">
        <f>"23-AFFIDAMENTO DIRETTO"</f>
        <v>23-AFFIDAMENTO DIRETTO</v>
      </c>
      <c r="K478" t="str">
        <f>"08/06/2021"</f>
        <v>08/06/2021</v>
      </c>
      <c r="L478" t="str">
        <f>"04/07/2021"</f>
        <v>04/07/2021</v>
      </c>
      <c r="M478" t="str">
        <f>""</f>
        <v/>
      </c>
      <c r="N478" t="str">
        <f>"AGSM Energia S.p.A."</f>
        <v>AGSM Energia S.p.A.</v>
      </c>
      <c r="O478" t="str">
        <f>"AGSM Energia S.p.A."</f>
        <v>AGSM Energia S.p.A.</v>
      </c>
      <c r="P478" t="str">
        <f>"Z681A36FA2: [440.40€ ]"</f>
        <v>Z681A36FA2: [440.40€ ]</v>
      </c>
      <c r="Q478" t="str">
        <f>""</f>
        <v/>
      </c>
      <c r="R478" t="str">
        <f>""</f>
        <v/>
      </c>
      <c r="S478" t="str">
        <f>""</f>
        <v/>
      </c>
      <c r="T478" t="str">
        <f>"https://portaletrasparenza.consorziobacchiglione.it/dettagli/attodigara/509/pagamento-preventivo-per-nuova-fornitura-presso-via-montello-a-saccolongo-per-alimentazione-impianto-a-protezione-catodica-3kw-bt-monofase-processo-id-007-03.html"</f>
        <v>https://portaletrasparenza.consorziobacchiglione.it/dettagli/attodigara/509/pagamento-preventivo-per-nuova-fornitura-presso-via-montello-a-saccolongo-per-alimentazione-impianto-a-protezione-catodica-3kw-bt-monofase-processo-id-007-03.html</v>
      </c>
      <c r="U478" t="str">
        <f>""</f>
        <v/>
      </c>
      <c r="V47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79" spans="1:22" x14ac:dyDescent="0.3">
      <c r="A479" t="str">
        <f>"Affidamento"</f>
        <v>Affidamento</v>
      </c>
      <c r="B479" t="str">
        <f>"Fornitura materiale elettrico per sostegno delle Basse, Piccolo, Governo (Ricicleria)"</f>
        <v>Fornitura materiale elettrico per sostegno delle Basse, Piccolo, Governo (Ricicleria)</v>
      </c>
      <c r="C479" t="str">
        <f>"ZA03209940"</f>
        <v>ZA03209940</v>
      </c>
      <c r="D479" t="str">
        <f>"10/06/2021"</f>
        <v>10/06/2021</v>
      </c>
      <c r="E479" t="str">
        <f>""</f>
        <v/>
      </c>
      <c r="F479" t="str">
        <f>""</f>
        <v/>
      </c>
      <c r="G479" t="str">
        <f>"10576.23"</f>
        <v>10576.23</v>
      </c>
      <c r="H479" t="str">
        <f>"Consorzio di bonifica Bacchiglione"</f>
        <v>Consorzio di bonifica Bacchiglione</v>
      </c>
      <c r="I479" t="str">
        <f>"92223390284"</f>
        <v>92223390284</v>
      </c>
      <c r="J479" t="str">
        <f>"23-AFFIDAMENTO DIRETTO"</f>
        <v>23-AFFIDAMENTO DIRETTO</v>
      </c>
      <c r="K479" t="str">
        <f>"08/06/2021"</f>
        <v>08/06/2021</v>
      </c>
      <c r="L479" t="str">
        <f>"30/09/2021"</f>
        <v>30/09/2021</v>
      </c>
      <c r="M479" t="str">
        <f>""</f>
        <v/>
      </c>
      <c r="N479" t="str">
        <f>"Elettroveneta S.p.A. Viale della Navigazione Interna, 48 - 35129 Padova (PD)"</f>
        <v>Elettroveneta S.p.A. Viale della Navigazione Interna, 48 - 35129 Padova (PD)</v>
      </c>
      <c r="O479" t="str">
        <f>"Elettroveneta S.p.A. Viale della Navigazione Interna, 48 - 35129 Padova (PD)"</f>
        <v>Elettroveneta S.p.A. Viale della Navigazione Interna, 48 - 35129 Padova (PD)</v>
      </c>
      <c r="P479" t="s">
        <v>207</v>
      </c>
      <c r="Q479" t="str">
        <f>""</f>
        <v/>
      </c>
      <c r="R479" t="str">
        <f>""</f>
        <v/>
      </c>
      <c r="S479" t="str">
        <f>""</f>
        <v/>
      </c>
      <c r="T479" t="str">
        <f>"https://portaletrasparenza.consorziobacchiglione.it/dettagli/attodigara/6933/fornitura-materiale-elettrico-per-sostegno-delle-basse-piccolo-governo-ricicleria.html"</f>
        <v>https://portaletrasparenza.consorziobacchiglione.it/dettagli/attodigara/6933/fornitura-materiale-elettrico-per-sostegno-delle-basse-piccolo-governo-ricicleria.html</v>
      </c>
      <c r="U479" t="str">
        <f>"https://portaletrasparenza.consorziobacchiglione.it/download/attodigara/6933/63ac45977bbec.PDF"</f>
        <v>https://portaletrasparenza.consorziobacchiglione.it/download/attodigara/6933/63ac45977bbec.PDF</v>
      </c>
      <c r="V4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80" spans="1:22" x14ac:dyDescent="0.3">
      <c r="A480" t="str">
        <f>"Affidamento"</f>
        <v>Affidamento</v>
      </c>
      <c r="B480" t="str">
        <f>"Sistemazione spondale della scolina di gronda Bernio Nord, mediante posa di sasso trachitico"</f>
        <v>Sistemazione spondale della scolina di gronda Bernio Nord, mediante posa di sasso trachitico</v>
      </c>
      <c r="C480" t="str">
        <f>"ZA5320774D"</f>
        <v>ZA5320774D</v>
      </c>
      <c r="D480" t="str">
        <f>"10/06/2021"</f>
        <v>10/06/2021</v>
      </c>
      <c r="E480" t="str">
        <f>""</f>
        <v/>
      </c>
      <c r="F480" t="str">
        <f>""</f>
        <v/>
      </c>
      <c r="G480" t="str">
        <f>"500.00"</f>
        <v>500.00</v>
      </c>
      <c r="H480" t="str">
        <f>"Consorzio di bonifica Bacchiglione"</f>
        <v>Consorzio di bonifica Bacchiglione</v>
      </c>
      <c r="I480" t="str">
        <f>"92223390284"</f>
        <v>92223390284</v>
      </c>
      <c r="J480" t="str">
        <f>"23-AFFIDAMENTO DIRETTO"</f>
        <v>23-AFFIDAMENTO DIRETTO</v>
      </c>
      <c r="K480" t="str">
        <f>"08/06/2021"</f>
        <v>08/06/2021</v>
      </c>
      <c r="L480" t="str">
        <f>"25/06/2021"</f>
        <v>25/06/2021</v>
      </c>
      <c r="M480" t="str">
        <f>""</f>
        <v/>
      </c>
      <c r="N480" t="str">
        <f>"Sif Toniolo S.r.l. Via Regazzoni Alta, 8, Galzignano Terme"</f>
        <v>Sif Toniolo S.r.l. Via Regazzoni Alta, 8, Galzignano Terme</v>
      </c>
      <c r="O480" t="str">
        <f>"Sif Toniolo S.r.l. Via Regazzoni Alta, 8, Galzignano Terme"</f>
        <v>Sif Toniolo S.r.l. Via Regazzoni Alta, 8, Galzignano Terme</v>
      </c>
      <c r="P480" t="str">
        <f>"ZA5320774D: [500.00€ ]"</f>
        <v>ZA5320774D: [500.00€ ]</v>
      </c>
      <c r="Q480" t="str">
        <f>""</f>
        <v/>
      </c>
      <c r="R480" t="str">
        <f>""</f>
        <v/>
      </c>
      <c r="S480" t="str">
        <f>""</f>
        <v/>
      </c>
      <c r="T480" t="str">
        <f>"https://portaletrasparenza.consorziobacchiglione.it/dettagli/attodigara/6931/sistemazione-spondale-della-scolina-di-gronda-bernio-nord-mediante-posa-di-sasso-trachitico.html"</f>
        <v>https://portaletrasparenza.consorziobacchiglione.it/dettagli/attodigara/6931/sistemazione-spondale-della-scolina-di-gronda-bernio-nord-mediante-posa-di-sasso-trachitico.html</v>
      </c>
      <c r="U480" t="str">
        <f>"https://portaletrasparenza.consorziobacchiglione.it/download/attodigara/6931/63ac45974351a.PDF"</f>
        <v>https://portaletrasparenza.consorziobacchiglione.it/download/attodigara/6931/63ac45974351a.PDF</v>
      </c>
      <c r="V48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81" spans="1:22" x14ac:dyDescent="0.3">
      <c r="A481" t="str">
        <f>"Affidamento"</f>
        <v>Affidamento</v>
      </c>
      <c r="B481" t="str">
        <f>"Fornitura MC 4,50 di calcestruzzo RCK 300 S4 per lavori presso scolo Cavaizza di Rosara"</f>
        <v>Fornitura MC 4,50 di calcestruzzo RCK 300 S4 per lavori presso scolo Cavaizza di Rosara</v>
      </c>
      <c r="C481" t="str">
        <f>"ZBB3208AF5"</f>
        <v>ZBB3208AF5</v>
      </c>
      <c r="D481" t="str">
        <f>"10/06/2021"</f>
        <v>10/06/2021</v>
      </c>
      <c r="E481" t="str">
        <f>""</f>
        <v/>
      </c>
      <c r="F481" t="str">
        <f>""</f>
        <v/>
      </c>
      <c r="G481" t="str">
        <f>"322.00"</f>
        <v>322.00</v>
      </c>
      <c r="H481" t="str">
        <f>"Consorzio di bonifica Bacchiglione"</f>
        <v>Consorzio di bonifica Bacchiglione</v>
      </c>
      <c r="I481" t="str">
        <f>"92223390284"</f>
        <v>92223390284</v>
      </c>
      <c r="J481" t="str">
        <f>"23-AFFIDAMENTO DIRETTO"</f>
        <v>23-AFFIDAMENTO DIRETTO</v>
      </c>
      <c r="K481" t="str">
        <f>"08/06/2021"</f>
        <v>08/06/2021</v>
      </c>
      <c r="L481" t="str">
        <f>"29/06/2021"</f>
        <v>29/06/2021</v>
      </c>
      <c r="M481" t="str">
        <f>""</f>
        <v/>
      </c>
      <c r="N481" t="str">
        <f>"Zagolin Giovanni s.r.l. Via Gelsi 56 35028 Piove di Sacco PD"</f>
        <v>Zagolin Giovanni s.r.l. Via Gelsi 56 35028 Piove di Sacco PD</v>
      </c>
      <c r="O481" t="str">
        <f>"Zagolin Giovanni s.r.l. Via Gelsi 56 35028 Piove di Sacco PD"</f>
        <v>Zagolin Giovanni s.r.l. Via Gelsi 56 35028 Piove di Sacco PD</v>
      </c>
      <c r="P481" t="str">
        <f>"ZBB3208AF5: [0.00€ ]"</f>
        <v>ZBB3208AF5: [0.00€ ]</v>
      </c>
      <c r="Q481" t="str">
        <f>""</f>
        <v/>
      </c>
      <c r="R481" t="str">
        <f>""</f>
        <v/>
      </c>
      <c r="S481" t="str">
        <f>""</f>
        <v/>
      </c>
      <c r="T481" t="str">
        <f>"https://portaletrasparenza.consorziobacchiglione.it/dettagli/attodigara/6932/fornitura-mc-4-50-di-calcestruzzo-rck-300-s4-per-lavori-presso-scolo-cavaizza-di-rosara.html"</f>
        <v>https://portaletrasparenza.consorziobacchiglione.it/dettagli/attodigara/6932/fornitura-mc-4-50-di-calcestruzzo-rck-300-s4-per-lavori-presso-scolo-cavaizza-di-rosara.html</v>
      </c>
      <c r="U481" t="str">
        <f>"https://portaletrasparenza.consorziobacchiglione.it/download/attodigara/6932/62a20a174fc28.PDF"</f>
        <v>https://portaletrasparenza.consorziobacchiglione.it/download/attodigara/6932/62a20a174fc28.PDF</v>
      </c>
      <c r="V481">
        <f>(SUBSTITUTE(Tabella1[[#This Row],[Importo di aggiudicazione]],".",","))-(SUBSTITUTE(  SUBSTITUTE(          SUBSTITUTE(Tabella1[[#This Row],[Dettaglio somme liquidate]],Tabella1[[#This Row],[CIG]]&amp;": [",""),"€ ]",""),".",","))</f>
        <v>322</v>
      </c>
    </row>
    <row r="482" spans="1:22" x14ac:dyDescent="0.3">
      <c r="A482" t="str">
        <f>"Affidamento"</f>
        <v>Affidamento</v>
      </c>
      <c r="B482" t="str">
        <f>"Fornitura di n. 1 escavatore cingolato nuovo di fabbrica con braccio triplice, del peso operativo compreso tra 223 q.li ÷ 250 q.li e completo di tutti gli accessori (benne e impianto idraulico supplementare), con contestuale permuta di n. 1 esca"</f>
        <v>Fornitura di n. 1 escavatore cingolato nuovo di fabbrica con braccio triplice, del peso operativo compreso tra 223 q.li ÷ 250 q.li e completo di tutti gli accessori (benne e impianto idraulico supplementare), con contestuale permuta di n. 1 esca</v>
      </c>
      <c r="C482" t="str">
        <f>"861415840F"</f>
        <v>861415840F</v>
      </c>
      <c r="D482" t="str">
        <f>"14/06/2021"</f>
        <v>14/06/2021</v>
      </c>
      <c r="E482" t="str">
        <f>""</f>
        <v/>
      </c>
      <c r="F482" t="str">
        <f>""</f>
        <v/>
      </c>
      <c r="G482" t="str">
        <f>"382000.00"</f>
        <v>382000.00</v>
      </c>
      <c r="H482" t="str">
        <f>"Consorzio di bonifica Bacchiglione"</f>
        <v>Consorzio di bonifica Bacchiglione</v>
      </c>
      <c r="I482" t="str">
        <f>"92223390284"</f>
        <v>92223390284</v>
      </c>
      <c r="J482" t="str">
        <f>"04-PROCEDURA NEGOZIATA SENZA PREVIA PUBBLICAZIONE"</f>
        <v>04-PROCEDURA NEGOZIATA SENZA PREVIA PUBBLICAZIONE</v>
      </c>
      <c r="K482" t="str">
        <f>"08/07/2021"</f>
        <v>08/07/2021</v>
      </c>
      <c r="L482" t="str">
        <f>"05/11/2021"</f>
        <v>05/11/2021</v>
      </c>
      <c r="M482" t="str">
        <f>""</f>
        <v/>
      </c>
      <c r="N482" t="str">
        <f>"Foredil SRL | SORME s.n.c. | F.A.L.C. S.R.L. | Adriatica Commerciale Macchine s.r.l. | COMPAGNIA GENERALE TRATTORI S.P.A. | Massuco T. s.r.l."</f>
        <v>Foredil SRL | SORME s.n.c. | F.A.L.C. S.R.L. | Adriatica Commerciale Macchine s.r.l. | COMPAGNIA GENERALE TRATTORI S.P.A. | Massuco T. s.r.l.</v>
      </c>
      <c r="O482" t="str">
        <f>"SORME s.n.c."</f>
        <v>SORME s.n.c.</v>
      </c>
      <c r="P482" t="str">
        <f>"861415840F: [382000.00€ ]"</f>
        <v>861415840F: [382000.00€ ]</v>
      </c>
      <c r="Q482" t="str">
        <f>""</f>
        <v/>
      </c>
      <c r="R482" t="str">
        <f>""</f>
        <v/>
      </c>
      <c r="S482" t="str">
        <f>""</f>
        <v/>
      </c>
      <c r="T482" t="s">
        <v>98</v>
      </c>
      <c r="U482" t="str">
        <f>"https://portaletrasparenza.consorziobacchiglione.it/download/attodigara/6488/63ac45987aa57.PDF"</f>
        <v>https://portaletrasparenza.consorziobacchiglione.it/download/attodigara/6488/63ac45987aa57.PDF</v>
      </c>
      <c r="V4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83" spans="1:22" x14ac:dyDescent="0.3">
      <c r="A483" t="str">
        <f>"Affidamento"</f>
        <v>Affidamento</v>
      </c>
      <c r="B483" t="str">
        <f>"Manutenzione e riparazione mezzo targato: AKD221"</f>
        <v>Manutenzione e riparazione mezzo targato: AKD221</v>
      </c>
      <c r="C483" t="str">
        <f>"Z843269605"</f>
        <v>Z843269605</v>
      </c>
      <c r="D483" t="str">
        <f>"19/07/2021"</f>
        <v>19/07/2021</v>
      </c>
      <c r="E483" t="str">
        <f>""</f>
        <v/>
      </c>
      <c r="F483" t="str">
        <f>""</f>
        <v/>
      </c>
      <c r="G483" t="str">
        <f>"180.00"</f>
        <v>180.00</v>
      </c>
      <c r="H483" t="str">
        <f>"Consorzio di bonifica Bacchiglione"</f>
        <v>Consorzio di bonifica Bacchiglione</v>
      </c>
      <c r="I483" t="str">
        <f>"92223390284"</f>
        <v>92223390284</v>
      </c>
      <c r="J483" t="str">
        <f>"23-AFFIDAMENTO DIRETTO"</f>
        <v>23-AFFIDAMENTO DIRETTO</v>
      </c>
      <c r="K483" t="str">
        <f>"08/07/2021"</f>
        <v>08/07/2021</v>
      </c>
      <c r="L483" t="str">
        <f>"28/07/2021"</f>
        <v>28/07/2021</v>
      </c>
      <c r="M483" t="str">
        <f>""</f>
        <v/>
      </c>
      <c r="N483" t="str">
        <f>"Elettrodiesel Peruzzo s.r.l. Via Tevere 30 35135 Padova"</f>
        <v>Elettrodiesel Peruzzo s.r.l. Via Tevere 30 35135 Padova</v>
      </c>
      <c r="O483" t="str">
        <f>"Elettrodiesel Peruzzo s.r.l. Via Tevere 30 35135 Padova"</f>
        <v>Elettrodiesel Peruzzo s.r.l. Via Tevere 30 35135 Padova</v>
      </c>
      <c r="P483" t="str">
        <f>"Z843269605: [180.00€ ]"</f>
        <v>Z843269605: [180.00€ ]</v>
      </c>
      <c r="Q483" t="str">
        <f>""</f>
        <v/>
      </c>
      <c r="R483" t="str">
        <f>""</f>
        <v/>
      </c>
      <c r="S483" t="str">
        <f>""</f>
        <v/>
      </c>
      <c r="T483" t="str">
        <f>"https://portaletrasparenza.consorziobacchiglione.it/dettagli/attodigara/7004/manutenzione-e-riparazione-mezzo-targato-akd221.html"</f>
        <v>https://portaletrasparenza.consorziobacchiglione.it/dettagli/attodigara/7004/manutenzione-e-riparazione-mezzo-targato-akd221.html</v>
      </c>
      <c r="U483" t="str">
        <f>"https://portaletrasparenza.consorziobacchiglione.it/download/attodigara/7004/63ac45a7eae90.PDF"</f>
        <v>https://portaletrasparenza.consorziobacchiglione.it/download/attodigara/7004/63ac45a7eae90.PDF</v>
      </c>
      <c r="V48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84" spans="1:22" x14ac:dyDescent="0.3">
      <c r="A484" t="str">
        <f>"Affidamento"</f>
        <v>Affidamento</v>
      </c>
      <c r="B484" t="str">
        <f>"Manutenzione sgrigliatore presso Impianto ZIP"</f>
        <v>Manutenzione sgrigliatore presso Impianto ZIP</v>
      </c>
      <c r="C484" t="str">
        <f>"Z643269442"</f>
        <v>Z643269442</v>
      </c>
      <c r="D484" t="str">
        <f>"19/07/2021"</f>
        <v>19/07/2021</v>
      </c>
      <c r="E484" t="str">
        <f>""</f>
        <v/>
      </c>
      <c r="F484" t="str">
        <f>""</f>
        <v/>
      </c>
      <c r="G484" t="str">
        <f>"269.00"</f>
        <v>269.00</v>
      </c>
      <c r="H484" t="str">
        <f>"Consorzio di bonifica Bacchiglione"</f>
        <v>Consorzio di bonifica Bacchiglione</v>
      </c>
      <c r="I484" t="str">
        <f>"92223390284"</f>
        <v>92223390284</v>
      </c>
      <c r="J484" t="str">
        <f>"23-AFFIDAMENTO DIRETTO"</f>
        <v>23-AFFIDAMENTO DIRETTO</v>
      </c>
      <c r="K484" t="str">
        <f>"08/07/2021"</f>
        <v>08/07/2021</v>
      </c>
      <c r="L484" t="str">
        <f>"19/07/2021"</f>
        <v>19/07/2021</v>
      </c>
      <c r="M484" t="str">
        <f>""</f>
        <v/>
      </c>
      <c r="N484" t="str">
        <f>"Officina Biesse S.n.c. Via Matteotti 24 35020 Arzergrande PD"</f>
        <v>Officina Biesse S.n.c. Via Matteotti 24 35020 Arzergrande PD</v>
      </c>
      <c r="O484" t="str">
        <f>"Officina Biesse S.n.c. Via Matteotti 24 35020 Arzergrande PD"</f>
        <v>Officina Biesse S.n.c. Via Matteotti 24 35020 Arzergrande PD</v>
      </c>
      <c r="P484" t="str">
        <f>"Z643269442: [269.00€ ]"</f>
        <v>Z643269442: [269.00€ ]</v>
      </c>
      <c r="Q484" t="str">
        <f>""</f>
        <v/>
      </c>
      <c r="R484" t="str">
        <f>""</f>
        <v/>
      </c>
      <c r="S484" t="str">
        <f>""</f>
        <v/>
      </c>
      <c r="T484" t="str">
        <f>"https://portaletrasparenza.consorziobacchiglione.it/dettagli/attodigara/7003/manutenzione-sgrigliatore-presso-impianto-zip.html"</f>
        <v>https://portaletrasparenza.consorziobacchiglione.it/dettagli/attodigara/7003/manutenzione-sgrigliatore-presso-impianto-zip.html</v>
      </c>
      <c r="U484" t="str">
        <f>"https://portaletrasparenza.consorziobacchiglione.it/download/attodigara/7003/63ac45a7b2431.PDF"</f>
        <v>https://portaletrasparenza.consorziobacchiglione.it/download/attodigara/7003/63ac45a7b2431.PDF</v>
      </c>
      <c r="V4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85" spans="1:22" x14ac:dyDescent="0.3">
      <c r="A485" t="str">
        <f>"Affidamento"</f>
        <v>Affidamento</v>
      </c>
      <c r="B485" t="str">
        <f>"Fornitura attuatore portatile a scoppio con accessori vari."</f>
        <v>Fornitura attuatore portatile a scoppio con accessori vari.</v>
      </c>
      <c r="C485" t="str">
        <f>"Z7B32686D9"</f>
        <v>Z7B32686D9</v>
      </c>
      <c r="D485" t="str">
        <f>"19/07/2021"</f>
        <v>19/07/2021</v>
      </c>
      <c r="E485" t="str">
        <f>""</f>
        <v/>
      </c>
      <c r="F485" t="str">
        <f>""</f>
        <v/>
      </c>
      <c r="G485" t="str">
        <f>"3600.00"</f>
        <v>3600.00</v>
      </c>
      <c r="H485" t="str">
        <f>"Consorzio di bonifica Bacchiglione"</f>
        <v>Consorzio di bonifica Bacchiglione</v>
      </c>
      <c r="I485" t="str">
        <f>"92223390284"</f>
        <v>92223390284</v>
      </c>
      <c r="J485" t="str">
        <f>"23-AFFIDAMENTO DIRETTO"</f>
        <v>23-AFFIDAMENTO DIRETTO</v>
      </c>
      <c r="K485" t="str">
        <f>"08/07/2021"</f>
        <v>08/07/2021</v>
      </c>
      <c r="L485" t="str">
        <f>"14/10/2021"</f>
        <v>14/10/2021</v>
      </c>
      <c r="M485" t="str">
        <f>""</f>
        <v/>
      </c>
      <c r="N485" t="str">
        <f>"F.lli Scapin S.R.L. Viale dell' Artigianato 67 35013 Cittadella PD"</f>
        <v>F.lli Scapin S.R.L. Viale dell' Artigianato 67 35013 Cittadella PD</v>
      </c>
      <c r="O485" t="str">
        <f>"F.lli Scapin S.R.L. Viale dell' Artigianato 67 35013 Cittadella PD"</f>
        <v>F.lli Scapin S.R.L. Viale dell' Artigianato 67 35013 Cittadella PD</v>
      </c>
      <c r="P485" t="str">
        <f>"Z7B32686D9: [3600.00€ ]"</f>
        <v>Z7B32686D9: [3600.00€ ]</v>
      </c>
      <c r="Q485" t="str">
        <f>""</f>
        <v/>
      </c>
      <c r="R485" t="str">
        <f>""</f>
        <v/>
      </c>
      <c r="S485" t="str">
        <f>""</f>
        <v/>
      </c>
      <c r="T485" t="str">
        <f>"https://portaletrasparenza.consorziobacchiglione.it/dettagli/attodigara/7002/fornitura-attuatore-portatile-a-scoppio-con-accessori-vari.html"</f>
        <v>https://portaletrasparenza.consorziobacchiglione.it/dettagli/attodigara/7002/fornitura-attuatore-portatile-a-scoppio-con-accessori-vari.html</v>
      </c>
      <c r="U485" t="str">
        <f>"https://portaletrasparenza.consorziobacchiglione.it/download/attodigara/7002/63ac45a779906.PDF"</f>
        <v>https://portaletrasparenza.consorziobacchiglione.it/download/attodigara/7002/63ac45a779906.PDF</v>
      </c>
      <c r="V4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86" spans="1:22" x14ac:dyDescent="0.3">
      <c r="A486" t="str">
        <f>"Affidamento"</f>
        <v>Affidamento</v>
      </c>
      <c r="B486" t="str">
        <f>"Fornitura di centraline elettriche per il sistema di TLC dei sostegni delle Basse, Piccolo, Governo (Ricicleria) nel Bacino Montà Portello"</f>
        <v>Fornitura di centraline elettriche per il sistema di TLC dei sostegni delle Basse, Piccolo, Governo (Ricicleria) nel Bacino Montà Portello</v>
      </c>
      <c r="C486" t="str">
        <f>"ZD23267BFB"</f>
        <v>ZD23267BFB</v>
      </c>
      <c r="D486" t="str">
        <f>"19/07/2021"</f>
        <v>19/07/2021</v>
      </c>
      <c r="E486" t="str">
        <f>""</f>
        <v/>
      </c>
      <c r="F486" t="str">
        <f>""</f>
        <v/>
      </c>
      <c r="G486" t="str">
        <f>"6838.45"</f>
        <v>6838.45</v>
      </c>
      <c r="H486" t="str">
        <f>"Consorzio di bonifica Bacchiglione"</f>
        <v>Consorzio di bonifica Bacchiglione</v>
      </c>
      <c r="I486" t="str">
        <f>"92223390284"</f>
        <v>92223390284</v>
      </c>
      <c r="J486" t="str">
        <f>"23-AFFIDAMENTO DIRETTO"</f>
        <v>23-AFFIDAMENTO DIRETTO</v>
      </c>
      <c r="K486" t="str">
        <f>"08/07/2021"</f>
        <v>08/07/2021</v>
      </c>
      <c r="L486" t="str">
        <f>"23/09/2021"</f>
        <v>23/09/2021</v>
      </c>
      <c r="M486" t="str">
        <f>""</f>
        <v/>
      </c>
      <c r="N486" t="str">
        <f>"SCHNEIDER ELECTRIC S.P.A. Via Circonvallazione Est, 1 - 24040 Stezzano (BG)"</f>
        <v>SCHNEIDER ELECTRIC S.P.A. Via Circonvallazione Est, 1 - 24040 Stezzano (BG)</v>
      </c>
      <c r="O486" t="str">
        <f>"SCHNEIDER ELECTRIC S.P.A. Via Circonvallazione Est, 1 - 24040 Stezzano (BG)"</f>
        <v>SCHNEIDER ELECTRIC S.P.A. Via Circonvallazione Est, 1 - 24040 Stezzano (BG)</v>
      </c>
      <c r="P486" t="str">
        <f>"ZD23267BFB: [6838.44€ ]"</f>
        <v>ZD23267BFB: [6838.44€ ]</v>
      </c>
      <c r="Q486" t="str">
        <f>""</f>
        <v/>
      </c>
      <c r="R486" t="str">
        <f>""</f>
        <v/>
      </c>
      <c r="S486" t="str">
        <f>""</f>
        <v/>
      </c>
      <c r="T486" t="str">
        <f>"https://portaletrasparenza.consorziobacchiglione.it/dettagli/attodigara/7001/fornitura-di-centraline-elettriche-per-il-sistema-di-tlc-dei-sostegni-delle-basse-piccolo-governo-ricicleria-nel-bacino-monta-portello.html"</f>
        <v>https://portaletrasparenza.consorziobacchiglione.it/dettagli/attodigara/7001/fornitura-di-centraline-elettriche-per-il-sistema-di-tlc-dei-sostegni-delle-basse-piccolo-governo-ricicleria-nel-bacino-monta-portello.html</v>
      </c>
      <c r="U486" t="str">
        <f>"https://portaletrasparenza.consorziobacchiglione.it/download/attodigara/7001/63ac45a740e6c.PDF"</f>
        <v>https://portaletrasparenza.consorziobacchiglione.it/download/attodigara/7001/63ac45a740e6c.PDF</v>
      </c>
      <c r="V486">
        <f>(SUBSTITUTE(Tabella1[[#This Row],[Importo di aggiudicazione]],".",","))-(SUBSTITUTE(  SUBSTITUTE(          SUBSTITUTE(Tabella1[[#This Row],[Dettaglio somme liquidate]],Tabella1[[#This Row],[CIG]]&amp;": [",""),"€ ]",""),".",","))</f>
        <v>1.0000000000218279E-2</v>
      </c>
    </row>
    <row r="487" spans="1:22" x14ac:dyDescent="0.3">
      <c r="A487" t="str">
        <f>"Affidamento"</f>
        <v>Affidamento</v>
      </c>
      <c r="B487" t="str">
        <f>"Fornitura decespugliatore Stihl FS 240 R per bacino Sesta Presa."</f>
        <v>Fornitura decespugliatore Stihl FS 240 R per bacino Sesta Presa.</v>
      </c>
      <c r="C487" t="str">
        <f>"ZDC1AE3E68"</f>
        <v>ZDC1AE3E68</v>
      </c>
      <c r="D487" t="str">
        <f>"04/11/2021"</f>
        <v>04/11/2021</v>
      </c>
      <c r="E487" t="str">
        <f>""</f>
        <v/>
      </c>
      <c r="F487" t="str">
        <f>""</f>
        <v/>
      </c>
      <c r="G487" t="str">
        <f>"450.00"</f>
        <v>450.00</v>
      </c>
      <c r="H487" t="str">
        <f>"Consorzio di bonifica Bacchiglione"</f>
        <v>Consorzio di bonifica Bacchiglione</v>
      </c>
      <c r="I487" t="str">
        <f>"92223390284"</f>
        <v>92223390284</v>
      </c>
      <c r="J487" t="str">
        <f>"23-AFFIDAMENTO DIRETTO"</f>
        <v>23-AFFIDAMENTO DIRETTO</v>
      </c>
      <c r="K487" t="str">
        <f>"08/08/2021"</f>
        <v>08/08/2021</v>
      </c>
      <c r="L487" t="str">
        <f>"29/09/2021"</f>
        <v>29/09/2021</v>
      </c>
      <c r="M487" t="str">
        <f>""</f>
        <v/>
      </c>
      <c r="N487" t="str">
        <f>"Mini Motor di Vettorato Gabriele Via Puccini 3 35020 Brugine PD | Frizzarin Marcello e C. s.n.c. Via Roma 1e 35020 Albignasego PD | Berto Guerrino snc Via Caovilla 27-B 35020 Saonara PD"</f>
        <v>Mini Motor di Vettorato Gabriele Via Puccini 3 35020 Brugine PD | Frizzarin Marcello e C. s.n.c. Via Roma 1e 35020 Albignasego PD | Berto Guerrino snc Via Caovilla 27-B 35020 Saonara PD</v>
      </c>
      <c r="O487" t="str">
        <f>"Frizzarin Marcello e C. s.n.c. Via Roma 1e 35020 Albignasego PD"</f>
        <v>Frizzarin Marcello e C. s.n.c. Via Roma 1e 35020 Albignasego PD</v>
      </c>
      <c r="P487" t="str">
        <f>"ZDC1AE3E68: [450.00€ ]"</f>
        <v>ZDC1AE3E68: [450.00€ ]</v>
      </c>
      <c r="Q487" t="str">
        <f>""</f>
        <v/>
      </c>
      <c r="R487" t="str">
        <f>""</f>
        <v/>
      </c>
      <c r="S487" t="str">
        <f>""</f>
        <v/>
      </c>
      <c r="T487" t="str">
        <f>"https://portaletrasparenza.consorziobacchiglione.it/dettagli/attodigara/661/fornitura-decespugliatore-stihl-fs-240-r-per-bacino-sesta-presa.html"</f>
        <v>https://portaletrasparenza.consorziobacchiglione.it/dettagli/attodigara/661/fornitura-decespugliatore-stihl-fs-240-r-per-bacino-sesta-presa.html</v>
      </c>
      <c r="U487" t="str">
        <f>""</f>
        <v/>
      </c>
      <c r="V4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88" spans="1:22" x14ac:dyDescent="0.3">
      <c r="A488" t="str">
        <f>"Affidamento"</f>
        <v>Affidamento</v>
      </c>
      <c r="B488" t="str">
        <f>"Lavori di sfalcio erba sommità arginali zona Corte, S.Margherita, Brugine."</f>
        <v>Lavori di sfalcio erba sommità arginali zona Corte, S.Margherita, Brugine.</v>
      </c>
      <c r="C488" t="str">
        <f>"Z1D1AE3DE9"</f>
        <v>Z1D1AE3DE9</v>
      </c>
      <c r="D488" t="str">
        <f>"04/11/2021"</f>
        <v>04/11/2021</v>
      </c>
      <c r="E488" t="str">
        <f>""</f>
        <v/>
      </c>
      <c r="F488" t="str">
        <f>""</f>
        <v/>
      </c>
      <c r="G488" t="str">
        <f>"360.00"</f>
        <v>360.00</v>
      </c>
      <c r="H488" t="str">
        <f>"Consorzio di bonifica Bacchiglione"</f>
        <v>Consorzio di bonifica Bacchiglione</v>
      </c>
      <c r="I488" t="str">
        <f>"92223390284"</f>
        <v>92223390284</v>
      </c>
      <c r="J488" t="str">
        <f>"23-AFFIDAMENTO DIRETTO"</f>
        <v>23-AFFIDAMENTO DIRETTO</v>
      </c>
      <c r="K488" t="str">
        <f>"08/08/2021"</f>
        <v>08/08/2021</v>
      </c>
      <c r="L488" t="str">
        <f>"06/09/2021"</f>
        <v>06/09/2021</v>
      </c>
      <c r="M488" t="str">
        <f>""</f>
        <v/>
      </c>
      <c r="N488" t="str">
        <f>"Viale Valter Via 1° Maggio 124 30010 Campagna Lupia VE | Viale Nicola Via S.Marco 29 30010 Campagna Lupia VE"</f>
        <v>Viale Valter Via 1° Maggio 124 30010 Campagna Lupia VE | Viale Nicola Via S.Marco 29 30010 Campagna Lupia VE</v>
      </c>
      <c r="O488" t="str">
        <f>"Viale Valter Via 1° Maggio 124 30010 Campagna Lupia VE"</f>
        <v>Viale Valter Via 1° Maggio 124 30010 Campagna Lupia VE</v>
      </c>
      <c r="P488" t="str">
        <f>"Z1D1AE3DE9: [360.00€ ]"</f>
        <v>Z1D1AE3DE9: [360.00€ ]</v>
      </c>
      <c r="Q488" t="str">
        <f>""</f>
        <v/>
      </c>
      <c r="R488" t="str">
        <f>""</f>
        <v/>
      </c>
      <c r="S488" t="str">
        <f>""</f>
        <v/>
      </c>
      <c r="T488" t="str">
        <f>"https://portaletrasparenza.consorziobacchiglione.it/dettagli/attodigara/660/lavori-di-sfalcio-erba-sommita-arginali-zona-corte-s-margherita-brugine.html"</f>
        <v>https://portaletrasparenza.consorziobacchiglione.it/dettagli/attodigara/660/lavori-di-sfalcio-erba-sommita-arginali-zona-corte-s-margherita-brugine.html</v>
      </c>
      <c r="U488" t="str">
        <f>""</f>
        <v/>
      </c>
      <c r="V48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89" spans="1:22" x14ac:dyDescent="0.3">
      <c r="A489" t="str">
        <f>"Affidamento"</f>
        <v>Affidamento</v>
      </c>
      <c r="B489" t="str">
        <f>"Fornitura materiale vario per l'anno 2021 presso Bacino Sesta Presa e Delta Brenta"</f>
        <v>Fornitura materiale vario per l'anno 2021 presso Bacino Sesta Presa e Delta Brenta</v>
      </c>
      <c r="C489" t="str">
        <f>"Z1B32F8982"</f>
        <v>Z1B32F8982</v>
      </c>
      <c r="D489" t="str">
        <f>"09/09/2021"</f>
        <v>09/09/2021</v>
      </c>
      <c r="E489" t="str">
        <f>""</f>
        <v/>
      </c>
      <c r="F489" t="str">
        <f>""</f>
        <v/>
      </c>
      <c r="G489" t="str">
        <f>"4918.03"</f>
        <v>4918.03</v>
      </c>
      <c r="H489" t="str">
        <f>"Consorzio di bonifica Bacchiglione"</f>
        <v>Consorzio di bonifica Bacchiglione</v>
      </c>
      <c r="I489" t="str">
        <f>"92223390284"</f>
        <v>92223390284</v>
      </c>
      <c r="J489" t="str">
        <f>"23-AFFIDAMENTO DIRETTO"</f>
        <v>23-AFFIDAMENTO DIRETTO</v>
      </c>
      <c r="K489" t="str">
        <f>"08/09/2021"</f>
        <v>08/09/2021</v>
      </c>
      <c r="L489" t="str">
        <f>"30/11/2021"</f>
        <v>30/11/2021</v>
      </c>
      <c r="M489" t="str">
        <f>""</f>
        <v/>
      </c>
      <c r="N489" t="str">
        <f>"Ferramenta e cartoleria da Genny Via Vallona 65 - 35020 Conche di Codevigo"</f>
        <v>Ferramenta e cartoleria da Genny Via Vallona 65 - 35020 Conche di Codevigo</v>
      </c>
      <c r="O489" t="str">
        <f>"Ferramenta e cartoleria da Genny Via Vallona 65 - 35020 Conche di Codevigo"</f>
        <v>Ferramenta e cartoleria da Genny Via Vallona 65 - 35020 Conche di Codevigo</v>
      </c>
      <c r="P489" t="s">
        <v>189</v>
      </c>
      <c r="Q489" t="str">
        <f>""</f>
        <v/>
      </c>
      <c r="R489" t="str">
        <f>""</f>
        <v/>
      </c>
      <c r="S489" t="str">
        <f>""</f>
        <v/>
      </c>
      <c r="T489" t="str">
        <f>"https://portaletrasparenza.consorziobacchiglione.it/dettagli/attodigara/7122/fornitura-materiale-vario-per-l-anno-2021-presso-bacino-sesta-presa-e-delta-brenta.html"</f>
        <v>https://portaletrasparenza.consorziobacchiglione.it/dettagli/attodigara/7122/fornitura-materiale-vario-per-l-anno-2021-presso-bacino-sesta-presa-e-delta-brenta.html</v>
      </c>
      <c r="U489" t="str">
        <f>"https://portaletrasparenza.consorziobacchiglione.it/download/attodigara/7122/63ac45c243e19.PDF"</f>
        <v>https://portaletrasparenza.consorziobacchiglione.it/download/attodigara/7122/63ac45c243e19.PDF</v>
      </c>
      <c r="V4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90" spans="1:22" x14ac:dyDescent="0.3">
      <c r="A490" t="str">
        <f>"Affidamento"</f>
        <v>Affidamento</v>
      </c>
      <c r="B490" t="str">
        <f>"Servizio camion gru più zavorra da 90 Q.li per collaudo carroponti in località Cambroso, Varice di Corte Monte e Varice di Corte Valle"</f>
        <v>Servizio camion gru più zavorra da 90 Q.li per collaudo carroponti in località Cambroso, Varice di Corte Monte e Varice di Corte Valle</v>
      </c>
      <c r="C490" t="str">
        <f>"ZAA32F82F3"</f>
        <v>ZAA32F82F3</v>
      </c>
      <c r="D490" t="str">
        <f>"09/09/2021"</f>
        <v>09/09/2021</v>
      </c>
      <c r="E490" t="str">
        <f>""</f>
        <v/>
      </c>
      <c r="F490" t="str">
        <f>""</f>
        <v/>
      </c>
      <c r="G490" t="str">
        <f>"800.00"</f>
        <v>800.00</v>
      </c>
      <c r="H490" t="str">
        <f>"Consorzio di bonifica Bacchiglione"</f>
        <v>Consorzio di bonifica Bacchiglione</v>
      </c>
      <c r="I490" t="str">
        <f>"92223390284"</f>
        <v>92223390284</v>
      </c>
      <c r="J490" t="str">
        <f>"23-AFFIDAMENTO DIRETTO"</f>
        <v>23-AFFIDAMENTO DIRETTO</v>
      </c>
      <c r="K490" t="str">
        <f>"08/09/2021"</f>
        <v>08/09/2021</v>
      </c>
      <c r="L490" t="str">
        <f>"31/10/2021"</f>
        <v>31/10/2021</v>
      </c>
      <c r="M490" t="str">
        <f>""</f>
        <v/>
      </c>
      <c r="N490" t="str">
        <f>"Aggio e Figli Autotrasporti s.r.l. Via Chiusure 47 35020 Maserà di Padova PD"</f>
        <v>Aggio e Figli Autotrasporti s.r.l. Via Chiusure 47 35020 Maserà di Padova PD</v>
      </c>
      <c r="O490" t="str">
        <f>"Aggio e Figli Autotrasporti s.r.l. Via Chiusure 47 35020 Maserà di Padova PD"</f>
        <v>Aggio e Figli Autotrasporti s.r.l. Via Chiusure 47 35020 Maserà di Padova PD</v>
      </c>
      <c r="P490" t="s">
        <v>246</v>
      </c>
      <c r="Q490" t="str">
        <f>""</f>
        <v/>
      </c>
      <c r="R490" t="str">
        <f>""</f>
        <v/>
      </c>
      <c r="S490" t="str">
        <f>""</f>
        <v/>
      </c>
      <c r="T490" t="str">
        <f>"https://portaletrasparenza.consorziobacchiglione.it/dettagli/attodigara/7121/servizio-camion-gru-piu-zavorra-da-90-q-li-per-collaudo-carroponti-in-localita-cambroso-varice-di-corte-monte-e-varice-di-corte-valle.html"</f>
        <v>https://portaletrasparenza.consorziobacchiglione.it/dettagli/attodigara/7121/servizio-camion-gru-piu-zavorra-da-90-q-li-per-collaudo-carroponti-in-localita-cambroso-varice-di-corte-monte-e-varice-di-corte-valle.html</v>
      </c>
      <c r="U490" t="str">
        <f>"https://portaletrasparenza.consorziobacchiglione.it/download/attodigara/7121/63ac45c20b48d.PDF"</f>
        <v>https://portaletrasparenza.consorziobacchiglione.it/download/attodigara/7121/63ac45c20b48d.PDF</v>
      </c>
      <c r="V4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91" spans="1:22" x14ac:dyDescent="0.3">
      <c r="A491" t="str">
        <f>"Affidamento"</f>
        <v>Affidamento</v>
      </c>
      <c r="B491" t="str">
        <f>"Manutenzione e riparazione mezzo con targa: AJ206BM"</f>
        <v>Manutenzione e riparazione mezzo con targa: AJ206BM</v>
      </c>
      <c r="C491" t="str">
        <f>"Z7832F786A"</f>
        <v>Z7832F786A</v>
      </c>
      <c r="D491" t="str">
        <f>"09/09/2021"</f>
        <v>09/09/2021</v>
      </c>
      <c r="E491" t="str">
        <f>""</f>
        <v/>
      </c>
      <c r="F491" t="str">
        <f>""</f>
        <v/>
      </c>
      <c r="G491" t="str">
        <f>"752.78"</f>
        <v>752.78</v>
      </c>
      <c r="H491" t="str">
        <f>"Consorzio di bonifica Bacchiglione"</f>
        <v>Consorzio di bonifica Bacchiglione</v>
      </c>
      <c r="I491" t="str">
        <f>"92223390284"</f>
        <v>92223390284</v>
      </c>
      <c r="J491" t="str">
        <f>"23-AFFIDAMENTO DIRETTO"</f>
        <v>23-AFFIDAMENTO DIRETTO</v>
      </c>
      <c r="K491" t="str">
        <f>"08/09/2021"</f>
        <v>08/09/2021</v>
      </c>
      <c r="L491" t="str">
        <f>"30/09/2021"</f>
        <v>30/09/2021</v>
      </c>
      <c r="M491" t="str">
        <f>""</f>
        <v/>
      </c>
      <c r="N491" t="str">
        <f>"Officina Autotreni Carraro Franco srl Via Gelsi 79 35028 Piove di Sacco PD"</f>
        <v>Officina Autotreni Carraro Franco srl Via Gelsi 79 35028 Piove di Sacco PD</v>
      </c>
      <c r="O491" t="str">
        <f>"Officina Autotreni Carraro Franco srl Via Gelsi 79 35028 Piove di Sacco PD"</f>
        <v>Officina Autotreni Carraro Franco srl Via Gelsi 79 35028 Piove di Sacco PD</v>
      </c>
      <c r="P491" t="s">
        <v>249</v>
      </c>
      <c r="Q491" t="str">
        <f>""</f>
        <v/>
      </c>
      <c r="R491" t="str">
        <f>""</f>
        <v/>
      </c>
      <c r="S491" t="str">
        <f>""</f>
        <v/>
      </c>
      <c r="T491" t="str">
        <f>"https://portaletrasparenza.consorziobacchiglione.it/dettagli/attodigara/7119/manutenzione-e-riparazione-mezzo-con-targa-aj206bm.html"</f>
        <v>https://portaletrasparenza.consorziobacchiglione.it/dettagli/attodigara/7119/manutenzione-e-riparazione-mezzo-con-targa-aj206bm.html</v>
      </c>
      <c r="U491" t="str">
        <f>"https://portaletrasparenza.consorziobacchiglione.it/download/attodigara/7119/63ac45c18e057.PDF"</f>
        <v>https://portaletrasparenza.consorziobacchiglione.it/download/attodigara/7119/63ac45c18e057.PDF</v>
      </c>
      <c r="V4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92" spans="1:22" x14ac:dyDescent="0.3">
      <c r="A492" t="str">
        <f>"Affidamento"</f>
        <v>Affidamento</v>
      </c>
      <c r="B492" t="str">
        <f>"Fornitura palo conico H.Tot. 500 presso paratoie Fiumicello Corte"</f>
        <v>Fornitura palo conico H.Tot. 500 presso paratoie Fiumicello Corte</v>
      </c>
      <c r="C492" t="str">
        <f>"Z0E32F801F"</f>
        <v>Z0E32F801F</v>
      </c>
      <c r="D492" t="str">
        <f>"09/09/2021"</f>
        <v>09/09/2021</v>
      </c>
      <c r="E492" t="str">
        <f>""</f>
        <v/>
      </c>
      <c r="F492" t="str">
        <f>""</f>
        <v/>
      </c>
      <c r="G492" t="str">
        <f>"131.21"</f>
        <v>131.21</v>
      </c>
      <c r="H492" t="str">
        <f>"Consorzio di bonifica Bacchiglione"</f>
        <v>Consorzio di bonifica Bacchiglione</v>
      </c>
      <c r="I492" t="str">
        <f>"92223390284"</f>
        <v>92223390284</v>
      </c>
      <c r="J492" t="str">
        <f>"23-AFFIDAMENTO DIRETTO"</f>
        <v>23-AFFIDAMENTO DIRETTO</v>
      </c>
      <c r="K492" t="str">
        <f>"08/09/2021"</f>
        <v>08/09/2021</v>
      </c>
      <c r="L492" t="str">
        <f>"30/09/2021"</f>
        <v>30/09/2021</v>
      </c>
      <c r="M492" t="str">
        <f>""</f>
        <v/>
      </c>
      <c r="N492" t="str">
        <f>"Elettroveneta S.p.A. Viale della Navigazione Interna, 48 - 35129 Padova (PD)"</f>
        <v>Elettroveneta S.p.A. Viale della Navigazione Interna, 48 - 35129 Padova (PD)</v>
      </c>
      <c r="O492" t="str">
        <f>"Elettroveneta S.p.A. Viale della Navigazione Interna, 48 - 35129 Padova (PD)"</f>
        <v>Elettroveneta S.p.A. Viale della Navigazione Interna, 48 - 35129 Padova (PD)</v>
      </c>
      <c r="P492" t="s">
        <v>315</v>
      </c>
      <c r="Q492" t="str">
        <f>""</f>
        <v/>
      </c>
      <c r="R492" t="str">
        <f>""</f>
        <v/>
      </c>
      <c r="S492" t="str">
        <f>""</f>
        <v/>
      </c>
      <c r="T492" t="str">
        <f>"https://portaletrasparenza.consorziobacchiglione.it/dettagli/attodigara/7120/fornitura-palo-conico-h-tot-500-presso-paratoie-fiumicello-corte.html"</f>
        <v>https://portaletrasparenza.consorziobacchiglione.it/dettagli/attodigara/7120/fornitura-palo-conico-h-tot-500-presso-paratoie-fiumicello-corte.html</v>
      </c>
      <c r="U492" t="str">
        <f>"https://portaletrasparenza.consorziobacchiglione.it/download/attodigara/7120/63ac45c1c6c0e.PDF"</f>
        <v>https://portaletrasparenza.consorziobacchiglione.it/download/attodigara/7120/63ac45c1c6c0e.PDF</v>
      </c>
      <c r="V49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93" spans="1:22" x14ac:dyDescent="0.3">
      <c r="A493" t="str">
        <f>"Affidamento"</f>
        <v>Affidamento</v>
      </c>
      <c r="B493" t="str">
        <f>"Formazione tecnica software per nuovo portale istituzionale"</f>
        <v>Formazione tecnica software per nuovo portale istituzionale</v>
      </c>
      <c r="C493" t="str">
        <f>"ZAC32F73CD"</f>
        <v>ZAC32F73CD</v>
      </c>
      <c r="D493" t="str">
        <f>"09/09/2021"</f>
        <v>09/09/2021</v>
      </c>
      <c r="E493" t="str">
        <f>""</f>
        <v/>
      </c>
      <c r="F493" t="str">
        <f>""</f>
        <v/>
      </c>
      <c r="G493" t="str">
        <f>"120.00"</f>
        <v>120.00</v>
      </c>
      <c r="H493" t="str">
        <f>"Consorzio di bonifica Bacchiglione"</f>
        <v>Consorzio di bonifica Bacchiglione</v>
      </c>
      <c r="I493" t="str">
        <f>"92223390284"</f>
        <v>92223390284</v>
      </c>
      <c r="J493" t="str">
        <f>"23-AFFIDAMENTO DIRETTO"</f>
        <v>23-AFFIDAMENTO DIRETTO</v>
      </c>
      <c r="K493" t="str">
        <f>"08/09/2021"</f>
        <v>08/09/2021</v>
      </c>
      <c r="L493" t="str">
        <f>"10/11/2021"</f>
        <v>10/11/2021</v>
      </c>
      <c r="M493" t="str">
        <f>""</f>
        <v/>
      </c>
      <c r="N493" t="str">
        <f>"DigitalPA s.r.l. Via San Tommaso D'Aquino 18-a - 09134 Cagliari"</f>
        <v>DigitalPA s.r.l. Via San Tommaso D'Aquino 18-a - 09134 Cagliari</v>
      </c>
      <c r="O493" t="str">
        <f>"DigitalPA s.r.l. Via San Tommaso D'Aquino 18-a - 09134 Cagliari"</f>
        <v>DigitalPA s.r.l. Via San Tommaso D'Aquino 18-a - 09134 Cagliari</v>
      </c>
      <c r="P493" t="s">
        <v>317</v>
      </c>
      <c r="Q493" t="str">
        <f>""</f>
        <v/>
      </c>
      <c r="R493" t="str">
        <f>""</f>
        <v/>
      </c>
      <c r="S493" t="str">
        <f>""</f>
        <v/>
      </c>
      <c r="T493" t="str">
        <f>"https://portaletrasparenza.consorziobacchiglione.it/dettagli/attodigara/7118/formazione-tecnica-software-per-nuovo-portale-istituzionale.html"</f>
        <v>https://portaletrasparenza.consorziobacchiglione.it/dettagli/attodigara/7118/formazione-tecnica-software-per-nuovo-portale-istituzionale.html</v>
      </c>
      <c r="U493" t="str">
        <f>"https://portaletrasparenza.consorziobacchiglione.it/download/attodigara/7118/63ac45c155347.PDF"</f>
        <v>https://portaletrasparenza.consorziobacchiglione.it/download/attodigara/7118/63ac45c155347.PDF</v>
      </c>
      <c r="V4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94" spans="1:22" x14ac:dyDescent="0.3">
      <c r="A494" t="str">
        <f>"Affidamento"</f>
        <v>Affidamento</v>
      </c>
      <c r="B494" t="str">
        <f>"ID 018-15 - LAVORI DI COMPLETAMENTO DELL'IMPIANTO IDROVORO ALTIPIANO, CON SCARICO NEL FIUME BRENTA IN COMUNE DI CODEVIGO - Costi di istruttoria per richiesta preventivo spostamento palo e-distribuzione in Via delle Muneg"</f>
        <v>ID 018-15 - LAVORI DI COMPLETAMENTO DELL'IMPIANTO IDROVORO ALTIPIANO, CON SCARICO NEL FIUME BRENTA IN COMUNE DI CODEVIGO - Costi di istruttoria per richiesta preventivo spostamento palo e-distribuzione in Via delle Muneg</v>
      </c>
      <c r="C494" t="str">
        <f>"Z6332F611B"</f>
        <v>Z6332F611B</v>
      </c>
      <c r="D494" t="str">
        <f>"14/09/2021"</f>
        <v>14/09/2021</v>
      </c>
      <c r="E494" t="str">
        <f>""</f>
        <v/>
      </c>
      <c r="F494" t="str">
        <f>""</f>
        <v/>
      </c>
      <c r="G494" t="str">
        <f>"100.00"</f>
        <v>100.00</v>
      </c>
      <c r="H494" t="str">
        <f>"Consorzio di bonifica Bacchiglione"</f>
        <v>Consorzio di bonifica Bacchiglione</v>
      </c>
      <c r="I494" t="str">
        <f>"92223390284"</f>
        <v>92223390284</v>
      </c>
      <c r="J494" t="str">
        <f>"23-AFFIDAMENTO DIRETTO"</f>
        <v>23-AFFIDAMENTO DIRETTO</v>
      </c>
      <c r="K494" t="str">
        <f>"08/09/2021"</f>
        <v>08/09/2021</v>
      </c>
      <c r="L494" t="str">
        <f>"24/09/2021"</f>
        <v>24/09/2021</v>
      </c>
      <c r="M494" t="str">
        <f>""</f>
        <v/>
      </c>
      <c r="N494" t="str">
        <f>"e-distribuzione S.p.A."</f>
        <v>e-distribuzione S.p.A.</v>
      </c>
      <c r="O494" t="str">
        <f>"e-distribuzione S.p.A."</f>
        <v>e-distribuzione S.p.A.</v>
      </c>
      <c r="P494" t="str">
        <f>"Z6332F611B: [100.00€ ]"</f>
        <v>Z6332F611B: [100.00€ ]</v>
      </c>
      <c r="Q494" t="str">
        <f>""</f>
        <v/>
      </c>
      <c r="R494" t="str">
        <f>""</f>
        <v/>
      </c>
      <c r="S494" t="str">
        <f>""</f>
        <v/>
      </c>
      <c r="T494" t="s">
        <v>83</v>
      </c>
      <c r="U494" t="str">
        <f>"https://portaletrasparenza.consorziobacchiglione.it/download/attodigara/7117/63ac45c3e1669.PDF"</f>
        <v>https://portaletrasparenza.consorziobacchiglione.it/download/attodigara/7117/63ac45c3e1669.PDF</v>
      </c>
      <c r="V49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95" spans="1:22" x14ac:dyDescent="0.3">
      <c r="A495" t="str">
        <f>"Affidamento"</f>
        <v>Affidamento</v>
      </c>
      <c r="B495" t="str">
        <f>"Fornitura di una nuova batteria per motopompa Varisco n.1"</f>
        <v>Fornitura di una nuova batteria per motopompa Varisco n.1</v>
      </c>
      <c r="C495" t="str">
        <f>"ZF5335FE82"</f>
        <v>ZF5335FE82</v>
      </c>
      <c r="D495" t="str">
        <f>"13/10/2021"</f>
        <v>13/10/2021</v>
      </c>
      <c r="E495" t="str">
        <f>""</f>
        <v/>
      </c>
      <c r="F495" t="str">
        <f>""</f>
        <v/>
      </c>
      <c r="G495" t="str">
        <f>"250.00"</f>
        <v>250.00</v>
      </c>
      <c r="H495" t="str">
        <f>"Consorzio di bonifica Bacchiglione"</f>
        <v>Consorzio di bonifica Bacchiglione</v>
      </c>
      <c r="I495" t="str">
        <f>"92223390284"</f>
        <v>92223390284</v>
      </c>
      <c r="J495" t="str">
        <f>"23-AFFIDAMENTO DIRETTO"</f>
        <v>23-AFFIDAMENTO DIRETTO</v>
      </c>
      <c r="K495" t="str">
        <f>"08/10/2021"</f>
        <v>08/10/2021</v>
      </c>
      <c r="L495" t="str">
        <f>"18/10/2021"</f>
        <v>18/10/2021</v>
      </c>
      <c r="M495" t="str">
        <f>""</f>
        <v/>
      </c>
      <c r="N495" t="str">
        <f>"Italmotori S.r.l. Corso Milano 83 35139 Padova"</f>
        <v>Italmotori S.r.l. Corso Milano 83 35139 Padova</v>
      </c>
      <c r="O495" t="str">
        <f>"Italmotori S.r.l. Corso Milano 83 35139 Padova"</f>
        <v>Italmotori S.r.l. Corso Milano 83 35139 Padova</v>
      </c>
      <c r="P495" t="s">
        <v>296</v>
      </c>
      <c r="Q495" t="str">
        <f>""</f>
        <v/>
      </c>
      <c r="R495" t="str">
        <f>""</f>
        <v/>
      </c>
      <c r="S495" t="str">
        <f>""</f>
        <v/>
      </c>
      <c r="T495" t="str">
        <f>"https://portaletrasparenza.consorziobacchiglione.it/dettagli/attodigara/7204/fornitura-di-una-nuova-batteria-per-motopompa-varisco-n-1.html"</f>
        <v>https://portaletrasparenza.consorziobacchiglione.it/dettagli/attodigara/7204/fornitura-di-una-nuova-batteria-per-motopompa-varisco-n-1.html</v>
      </c>
      <c r="U495" t="str">
        <f>"https://portaletrasparenza.consorziobacchiglione.it/download/attodigara/7204/63ac45d8657ae.PDF"</f>
        <v>https://portaletrasparenza.consorziobacchiglione.it/download/attodigara/7204/63ac45d8657ae.PDF</v>
      </c>
      <c r="V49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96" spans="1:22" x14ac:dyDescent="0.3">
      <c r="A496" t="str">
        <f>"Affidamento"</f>
        <v>Affidamento</v>
      </c>
      <c r="B496" t="str">
        <f>"Manutenzione G.E presso Idrovora di Cambroso"</f>
        <v>Manutenzione G.E presso Idrovora di Cambroso</v>
      </c>
      <c r="C496" t="str">
        <f>"Z66335FC3E"</f>
        <v>Z66335FC3E</v>
      </c>
      <c r="D496" t="str">
        <f>"13/10/2021"</f>
        <v>13/10/2021</v>
      </c>
      <c r="E496" t="str">
        <f>""</f>
        <v/>
      </c>
      <c r="F496" t="str">
        <f>""</f>
        <v/>
      </c>
      <c r="G496" t="str">
        <f>"5680.00"</f>
        <v>5680.00</v>
      </c>
      <c r="H496" t="str">
        <f>"Consorzio di bonifica Bacchiglione"</f>
        <v>Consorzio di bonifica Bacchiglione</v>
      </c>
      <c r="I496" t="str">
        <f>"92223390284"</f>
        <v>92223390284</v>
      </c>
      <c r="J496" t="str">
        <f>"23-AFFIDAMENTO DIRETTO"</f>
        <v>23-AFFIDAMENTO DIRETTO</v>
      </c>
      <c r="K496" t="str">
        <f>"08/10/2021"</f>
        <v>08/10/2021</v>
      </c>
      <c r="L496" t="str">
        <f>"31/03/2022"</f>
        <v>31/03/2022</v>
      </c>
      <c r="M496" t="str">
        <f>""</f>
        <v/>
      </c>
      <c r="N496" t="str">
        <f>"Italmotori S.r.l. Corso Milano 83 35139 Padova"</f>
        <v>Italmotori S.r.l. Corso Milano 83 35139 Padova</v>
      </c>
      <c r="O496" t="str">
        <f>"Italmotori S.r.l. Corso Milano 83 35139 Padova"</f>
        <v>Italmotori S.r.l. Corso Milano 83 35139 Padova</v>
      </c>
      <c r="P496" t="str">
        <f>"Z66335FC3E: [5680.00€ ]"</f>
        <v>Z66335FC3E: [5680.00€ ]</v>
      </c>
      <c r="Q496" t="str">
        <f>""</f>
        <v/>
      </c>
      <c r="R496" t="str">
        <f>""</f>
        <v/>
      </c>
      <c r="S496" t="str">
        <f>""</f>
        <v/>
      </c>
      <c r="T496" t="str">
        <f>"https://portaletrasparenza.consorziobacchiglione.it/dettagli/attodigara/7203/manutenzione-g-e-presso-idrovora-di-cambroso.html"</f>
        <v>https://portaletrasparenza.consorziobacchiglione.it/dettagli/attodigara/7203/manutenzione-g-e-presso-idrovora-di-cambroso.html</v>
      </c>
      <c r="U496" t="str">
        <f>"https://portaletrasparenza.consorziobacchiglione.it/download/attodigara/7203/63ac45d82cb10.PDF"</f>
        <v>https://portaletrasparenza.consorziobacchiglione.it/download/attodigara/7203/63ac45d82cb10.PDF</v>
      </c>
      <c r="V49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97" spans="1:22" x14ac:dyDescent="0.3">
      <c r="A497" t="str">
        <f>"Affidamento"</f>
        <v>Affidamento</v>
      </c>
      <c r="B497" t="str">
        <f>"Rilievi plano-altimetrici degli scoli Orsaro, Sagredo, Degora, Boschette, Acque Straniere, Cavaizza di Lova"</f>
        <v>Rilievi plano-altimetrici degli scoli Orsaro, Sagredo, Degora, Boschette, Acque Straniere, Cavaizza di Lova</v>
      </c>
      <c r="C497" t="str">
        <f>"ZE6335F68B"</f>
        <v>ZE6335F68B</v>
      </c>
      <c r="D497" t="str">
        <f>"13/10/2021"</f>
        <v>13/10/2021</v>
      </c>
      <c r="E497" t="str">
        <f>""</f>
        <v/>
      </c>
      <c r="F497" t="str">
        <f>""</f>
        <v/>
      </c>
      <c r="G497" t="str">
        <f>"3622.50"</f>
        <v>3622.50</v>
      </c>
      <c r="H497" t="str">
        <f>"Consorzio di bonifica Bacchiglione"</f>
        <v>Consorzio di bonifica Bacchiglione</v>
      </c>
      <c r="I497" t="str">
        <f>"92223390284"</f>
        <v>92223390284</v>
      </c>
      <c r="J497" t="str">
        <f>"23-AFFIDAMENTO DIRETTO"</f>
        <v>23-AFFIDAMENTO DIRETTO</v>
      </c>
      <c r="K497" t="str">
        <f>"08/10/2021"</f>
        <v>08/10/2021</v>
      </c>
      <c r="L497" t="str">
        <f>"31/12/2021"</f>
        <v>31/12/2021</v>
      </c>
      <c r="M497" t="str">
        <f>""</f>
        <v/>
      </c>
      <c r="N497" t="str">
        <f>"Studio tecnico Orlando Geom. Giuseppe Via Alvise Angelieri, 4-1 35020 Codevigo (PD)"</f>
        <v>Studio tecnico Orlando Geom. Giuseppe Via Alvise Angelieri, 4-1 35020 Codevigo (PD)</v>
      </c>
      <c r="O497" t="str">
        <f>"Studio tecnico Orlando Geom. Giuseppe Via Alvise Angelieri, 4-1 35020 Codevigo (PD)"</f>
        <v>Studio tecnico Orlando Geom. Giuseppe Via Alvise Angelieri, 4-1 35020 Codevigo (PD)</v>
      </c>
      <c r="P497" t="str">
        <f>"ZE6335F68B: [0.00€ ]"</f>
        <v>ZE6335F68B: [0.00€ ]</v>
      </c>
      <c r="Q497" t="str">
        <f>""</f>
        <v/>
      </c>
      <c r="R497" t="str">
        <f>""</f>
        <v/>
      </c>
      <c r="S497" t="str">
        <f>""</f>
        <v/>
      </c>
      <c r="T497" t="str">
        <f>"https://portaletrasparenza.consorziobacchiglione.it/dettagli/attodigara/7202/rilievi-plano-altimetrici-degli-scoli-orsaro-sagredo-degora-boschette-acque-straniere-cavaizza-di-lova.html"</f>
        <v>https://portaletrasparenza.consorziobacchiglione.it/dettagli/attodigara/7202/rilievi-plano-altimetrici-degli-scoli-orsaro-sagredo-degora-boschette-acque-straniere-cavaizza-di-lova.html</v>
      </c>
      <c r="U497" t="str">
        <f>"https://portaletrasparenza.consorziobacchiglione.it/download/attodigara/7202/62a20a9e46233.PDF"</f>
        <v>https://portaletrasparenza.consorziobacchiglione.it/download/attodigara/7202/62a20a9e46233.PDF</v>
      </c>
      <c r="V497">
        <f>(SUBSTITUTE(Tabella1[[#This Row],[Importo di aggiudicazione]],".",","))-(SUBSTITUTE(  SUBSTITUTE(          SUBSTITUTE(Tabella1[[#This Row],[Dettaglio somme liquidate]],Tabella1[[#This Row],[CIG]]&amp;": [",""),"€ ]",""),".",","))</f>
        <v>3622.5</v>
      </c>
    </row>
    <row r="498" spans="1:22" x14ac:dyDescent="0.3">
      <c r="A498" t="str">
        <f>"Affidamento"</f>
        <v>Affidamento</v>
      </c>
      <c r="B498" t="str">
        <f>"Fornitura materiale edile e di ferramenta per lavori C.O.S.Margherita, Bacino Delta Brenta."</f>
        <v>Fornitura materiale edile e di ferramenta per lavori C.O.S.Margherita, Bacino Delta Brenta.</v>
      </c>
      <c r="C498" t="str">
        <f>"Z2E1BEB1AF"</f>
        <v>Z2E1BEB1AF</v>
      </c>
      <c r="D498" t="str">
        <f>"04/11/2021"</f>
        <v>04/11/2021</v>
      </c>
      <c r="E498" t="str">
        <f>""</f>
        <v/>
      </c>
      <c r="F498" t="str">
        <f>""</f>
        <v/>
      </c>
      <c r="G498" t="str">
        <f>"174.89"</f>
        <v>174.89</v>
      </c>
      <c r="H498" t="str">
        <f>"Consorzio di bonifica Bacchiglione"</f>
        <v>Consorzio di bonifica Bacchiglione</v>
      </c>
      <c r="I498" t="str">
        <f>"92223390284"</f>
        <v>92223390284</v>
      </c>
      <c r="J498" t="str">
        <f>"23-AFFIDAMENTO DIRETTO"</f>
        <v>23-AFFIDAMENTO DIRETTO</v>
      </c>
      <c r="K498" t="str">
        <f>"08/11/2021"</f>
        <v>08/11/2021</v>
      </c>
      <c r="L498" t="str">
        <f>"05/01/2021"</f>
        <v>05/01/2021</v>
      </c>
      <c r="M498" t="str">
        <f>""</f>
        <v/>
      </c>
      <c r="N498" t="str">
        <f>"Idronord s.r.l. Via delle Industrie 3C 30036 Santa Maria Di Sala VE"</f>
        <v>Idronord s.r.l. Via delle Industrie 3C 30036 Santa Maria Di Sala VE</v>
      </c>
      <c r="O498" t="str">
        <f>"Idronord s.r.l. Via delle Industrie 3C 30036 Santa Maria Di Sala VE"</f>
        <v>Idronord s.r.l. Via delle Industrie 3C 30036 Santa Maria Di Sala VE</v>
      </c>
      <c r="P498" t="str">
        <f>"Z2E1BEB1AF: [174.89€ ]"</f>
        <v>Z2E1BEB1AF: [174.89€ ]</v>
      </c>
      <c r="Q498" t="str">
        <f>""</f>
        <v/>
      </c>
      <c r="R498" t="str">
        <f>""</f>
        <v/>
      </c>
      <c r="S498" t="str">
        <f>""</f>
        <v/>
      </c>
      <c r="T498" t="str">
        <f>"https://portaletrasparenza.consorziobacchiglione.it/dettagli/attodigara/896/fornitura-materiale-edile-e-di-ferramenta-per-lavori-c-o-s-margherita-bacino-delta-brenta.html"</f>
        <v>https://portaletrasparenza.consorziobacchiglione.it/dettagli/attodigara/896/fornitura-materiale-edile-e-di-ferramenta-per-lavori-c-o-s-margherita-bacino-delta-brenta.html</v>
      </c>
      <c r="U498" t="str">
        <f>""</f>
        <v/>
      </c>
      <c r="V4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499" spans="1:22" x14ac:dyDescent="0.3">
      <c r="A499" t="str">
        <f>"Affidamento"</f>
        <v>Affidamento</v>
      </c>
      <c r="B499" t="str">
        <f>"Riparazione e manutenzione mezzi con targa: CB933XY, PDAF497"</f>
        <v>Riparazione e manutenzione mezzi con targa: CB933XY, PDAF497</v>
      </c>
      <c r="C499" t="str">
        <f>"Z651BEB0D2"</f>
        <v>Z651BEB0D2</v>
      </c>
      <c r="D499" t="str">
        <f>"04/11/2021"</f>
        <v>04/11/2021</v>
      </c>
      <c r="E499" t="str">
        <f>""</f>
        <v/>
      </c>
      <c r="F499" t="str">
        <f>""</f>
        <v/>
      </c>
      <c r="G499" t="str">
        <f>"338.89"</f>
        <v>338.89</v>
      </c>
      <c r="H499" t="str">
        <f>"Consorzio di bonifica Bacchiglione"</f>
        <v>Consorzio di bonifica Bacchiglione</v>
      </c>
      <c r="I499" t="str">
        <f>"92223390284"</f>
        <v>92223390284</v>
      </c>
      <c r="J499" t="str">
        <f>"23-AFFIDAMENTO DIRETTO"</f>
        <v>23-AFFIDAMENTO DIRETTO</v>
      </c>
      <c r="K499" t="str">
        <f>"08/11/2021"</f>
        <v>08/11/2021</v>
      </c>
      <c r="L499" t="str">
        <f>"21/11/2021"</f>
        <v>21/11/2021</v>
      </c>
      <c r="M499" t="str">
        <f>""</f>
        <v/>
      </c>
      <c r="N499" t="str">
        <f>"Elettrodiesel Peruzzo s.r.l. Via Tevere 30 35135 Padova"</f>
        <v>Elettrodiesel Peruzzo s.r.l. Via Tevere 30 35135 Padova</v>
      </c>
      <c r="O499" t="str">
        <f>"Elettrodiesel Peruzzo s.r.l. Via Tevere 30 35135 Padova"</f>
        <v>Elettrodiesel Peruzzo s.r.l. Via Tevere 30 35135 Padova</v>
      </c>
      <c r="P499" t="str">
        <f>"Z651BEB0D2: [338.89€ ]"</f>
        <v>Z651BEB0D2: [338.89€ ]</v>
      </c>
      <c r="Q499" t="str">
        <f>""</f>
        <v/>
      </c>
      <c r="R499" t="str">
        <f>""</f>
        <v/>
      </c>
      <c r="S499" t="str">
        <f>""</f>
        <v/>
      </c>
      <c r="T499" t="str">
        <f>"https://portaletrasparenza.consorziobacchiglione.it/dettagli/attodigara/895/riparazione-e-manutenzione-mezzi-con-targa-cb933xy-pdaf497.html"</f>
        <v>https://portaletrasparenza.consorziobacchiglione.it/dettagli/attodigara/895/riparazione-e-manutenzione-mezzi-con-targa-cb933xy-pdaf497.html</v>
      </c>
      <c r="U499" t="str">
        <f>""</f>
        <v/>
      </c>
      <c r="V4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00" spans="1:22" x14ac:dyDescent="0.3">
      <c r="A500" t="str">
        <f>"Affidamento"</f>
        <v>Affidamento</v>
      </c>
      <c r="B500" t="str">
        <f>"CONSULENZA E COLLABORAZIONE INFORMATICO-ORGANIZZATIVA PER L'AGGIORNAMENTO DELLE PROCEDURE INFORMATICHE AI FINI DELL'APPLICAZIONE DELLE DISPOSIZIONI IN MATERIA DI ANTICORRUZIONE."</f>
        <v>CONSULENZA E COLLABORAZIONE INFORMATICO-ORGANIZZATIVA PER L'AGGIORNAMENTO DELLE PROCEDURE INFORMATICHE AI FINI DELL'APPLICAZIONE DELLE DISPOSIZIONI IN MATERIA DI ANTICORRUZIONE.</v>
      </c>
      <c r="C500" t="str">
        <f>"ZEA1BEB355"</f>
        <v>ZEA1BEB355</v>
      </c>
      <c r="D500" t="str">
        <f>"04/11/2021"</f>
        <v>04/11/2021</v>
      </c>
      <c r="E500" t="str">
        <f>""</f>
        <v/>
      </c>
      <c r="F500" t="str">
        <f>""</f>
        <v/>
      </c>
      <c r="G500" t="str">
        <f>"6240.00"</f>
        <v>6240.00</v>
      </c>
      <c r="H500" t="str">
        <f>"Consorzio di bonifica Bacchiglione"</f>
        <v>Consorzio di bonifica Bacchiglione</v>
      </c>
      <c r="I500" t="str">
        <f>"92223390284"</f>
        <v>92223390284</v>
      </c>
      <c r="J500" t="str">
        <f>"23-AFFIDAMENTO DIRETTO"</f>
        <v>23-AFFIDAMENTO DIRETTO</v>
      </c>
      <c r="K500" t="str">
        <f>"08/11/2021"</f>
        <v>08/11/2021</v>
      </c>
      <c r="L500" t="str">
        <f>"23/05/2021"</f>
        <v>23/05/2021</v>
      </c>
      <c r="M500" t="str">
        <f>""</f>
        <v/>
      </c>
      <c r="N500" t="str">
        <f>"Ing. Gianni Furlan"</f>
        <v>Ing. Gianni Furlan</v>
      </c>
      <c r="O500" t="str">
        <f>"Ing. Gianni Furlan"</f>
        <v>Ing. Gianni Furlan</v>
      </c>
      <c r="P500" t="str">
        <f>"ZEA1BEB355: [6240.00€ ]"</f>
        <v>ZEA1BEB355: [6240.00€ ]</v>
      </c>
      <c r="Q500" t="str">
        <f>""</f>
        <v/>
      </c>
      <c r="R500" t="str">
        <f>""</f>
        <v/>
      </c>
      <c r="S500" t="str">
        <f>""</f>
        <v/>
      </c>
      <c r="T500" t="s">
        <v>39</v>
      </c>
      <c r="U500" t="str">
        <f>""</f>
        <v/>
      </c>
      <c r="V5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01" spans="1:22" x14ac:dyDescent="0.3">
      <c r="A501" t="str">
        <f>"Affidamento"</f>
        <v>Affidamento</v>
      </c>
      <c r="B501" t="str">
        <f>"FORNITURA DI ATTREZZATURE HARDWARE"</f>
        <v>FORNITURA DI ATTREZZATURE HARDWARE</v>
      </c>
      <c r="C501" t="str">
        <f>"Z6C1BEAADD"</f>
        <v>Z6C1BEAADD</v>
      </c>
      <c r="D501" t="str">
        <f>"04/11/2021"</f>
        <v>04/11/2021</v>
      </c>
      <c r="E501" t="str">
        <f>""</f>
        <v/>
      </c>
      <c r="F501" t="str">
        <f>""</f>
        <v/>
      </c>
      <c r="G501" t="str">
        <f>"715.00"</f>
        <v>715.00</v>
      </c>
      <c r="H501" t="str">
        <f>"Consorzio di bonifica Bacchiglione"</f>
        <v>Consorzio di bonifica Bacchiglione</v>
      </c>
      <c r="I501" t="str">
        <f>"92223390284"</f>
        <v>92223390284</v>
      </c>
      <c r="J501" t="str">
        <f>"23-AFFIDAMENTO DIRETTO"</f>
        <v>23-AFFIDAMENTO DIRETTO</v>
      </c>
      <c r="K501" t="str">
        <f>"08/11/2021"</f>
        <v>08/11/2021</v>
      </c>
      <c r="L501" t="str">
        <f>"31/12/2021"</f>
        <v>31/12/2021</v>
      </c>
      <c r="M501" t="str">
        <f>""</f>
        <v/>
      </c>
      <c r="N501" t="str">
        <f>"TPH ELETTRONICA S.A.S."</f>
        <v>TPH ELETTRONICA S.A.S.</v>
      </c>
      <c r="O501" t="str">
        <f>"TPH ELETTRONICA S.A.S."</f>
        <v>TPH ELETTRONICA S.A.S.</v>
      </c>
      <c r="P501" t="str">
        <f>"Z6C1BEAADD: [715.00€ ]"</f>
        <v>Z6C1BEAADD: [715.00€ ]</v>
      </c>
      <c r="Q501" t="str">
        <f>""</f>
        <v/>
      </c>
      <c r="R501" t="str">
        <f>""</f>
        <v/>
      </c>
      <c r="S501" t="str">
        <f>""</f>
        <v/>
      </c>
      <c r="T501" t="str">
        <f>"https://portaletrasparenza.consorziobacchiglione.it/dettagli/attodigara/893/fornitura-di-attrezzature-hardware.html"</f>
        <v>https://portaletrasparenza.consorziobacchiglione.it/dettagli/attodigara/893/fornitura-di-attrezzature-hardware.html</v>
      </c>
      <c r="U501" t="str">
        <f>""</f>
        <v/>
      </c>
      <c r="V50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02" spans="1:22" x14ac:dyDescent="0.3">
      <c r="A502" t="str">
        <f>"Affidamento"</f>
        <v>Affidamento</v>
      </c>
      <c r="B502" t="str">
        <f>"Analisi chimiche campioni terre e relazione ambientale scolo Fiumicello. - Processo ID 023-16."</f>
        <v>Analisi chimiche campioni terre e relazione ambientale scolo Fiumicello. - Processo ID 023-16.</v>
      </c>
      <c r="C502" t="str">
        <f>"Z181BEB1A3"</f>
        <v>Z181BEB1A3</v>
      </c>
      <c r="D502" t="str">
        <f>"04/11/2021"</f>
        <v>04/11/2021</v>
      </c>
      <c r="E502" t="str">
        <f>""</f>
        <v/>
      </c>
      <c r="F502" t="str">
        <f>""</f>
        <v/>
      </c>
      <c r="G502" t="str">
        <f>"850.00"</f>
        <v>850.00</v>
      </c>
      <c r="H502" t="str">
        <f>"Consorzio di bonifica Bacchiglione"</f>
        <v>Consorzio di bonifica Bacchiglione</v>
      </c>
      <c r="I502" t="str">
        <f>"92223390284"</f>
        <v>92223390284</v>
      </c>
      <c r="J502" t="str">
        <f>"23-AFFIDAMENTO DIRETTO"</f>
        <v>23-AFFIDAMENTO DIRETTO</v>
      </c>
      <c r="K502" t="str">
        <f>"08/11/2021"</f>
        <v>08/11/2021</v>
      </c>
      <c r="L502" t="str">
        <f>"25/01/2021"</f>
        <v>25/01/2021</v>
      </c>
      <c r="M502" t="str">
        <f>""</f>
        <v/>
      </c>
      <c r="N502" t="str">
        <f>"Geologia Tecnica sas di Vorlicek P.A. E C."</f>
        <v>Geologia Tecnica sas di Vorlicek P.A. E C.</v>
      </c>
      <c r="O502" t="str">
        <f>"Geologia Tecnica sas di Vorlicek P.A. E C."</f>
        <v>Geologia Tecnica sas di Vorlicek P.A. E C.</v>
      </c>
      <c r="P502" t="str">
        <f>"Z181BEB1A3: [850.00€ ]"</f>
        <v>Z181BEB1A3: [850.00€ ]</v>
      </c>
      <c r="Q502" t="str">
        <f>""</f>
        <v/>
      </c>
      <c r="R502" t="str">
        <f>""</f>
        <v/>
      </c>
      <c r="S502" t="str">
        <f>""</f>
        <v/>
      </c>
      <c r="T502" t="str">
        <f>"https://portaletrasparenza.consorziobacchiglione.it/dettagli/attodigara/892/analisi-chimiche-campioni-terre-e-relazione-ambientale-scolo-fiumicello-processo-id-023-16.html"</f>
        <v>https://portaletrasparenza.consorziobacchiglione.it/dettagli/attodigara/892/analisi-chimiche-campioni-terre-e-relazione-ambientale-scolo-fiumicello-processo-id-023-16.html</v>
      </c>
      <c r="U502" t="str">
        <f>""</f>
        <v/>
      </c>
      <c r="V5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03" spans="1:22" x14ac:dyDescent="0.3">
      <c r="A503" t="str">
        <f>"Affidamento"</f>
        <v>Affidamento</v>
      </c>
      <c r="B503" t="str">
        <f>"Redazione relazione paesaggistica e relazione di Non incidenza Ambientale SIC ZPS. - Processo ID 023-16."</f>
        <v>Redazione relazione paesaggistica e relazione di Non incidenza Ambientale SIC ZPS. - Processo ID 023-16.</v>
      </c>
      <c r="C503" t="str">
        <f>"ZF51BEB06A"</f>
        <v>ZF51BEB06A</v>
      </c>
      <c r="D503" t="str">
        <f>"04/11/2021"</f>
        <v>04/11/2021</v>
      </c>
      <c r="E503" t="str">
        <f>""</f>
        <v/>
      </c>
      <c r="F503" t="str">
        <f>""</f>
        <v/>
      </c>
      <c r="G503" t="str">
        <f>"1040.00"</f>
        <v>1040.00</v>
      </c>
      <c r="H503" t="str">
        <f>"Consorzio di bonifica Bacchiglione"</f>
        <v>Consorzio di bonifica Bacchiglione</v>
      </c>
      <c r="I503" t="str">
        <f>"92223390284"</f>
        <v>92223390284</v>
      </c>
      <c r="J503" t="str">
        <f>"23-AFFIDAMENTO DIRETTO"</f>
        <v>23-AFFIDAMENTO DIRETTO</v>
      </c>
      <c r="K503" t="str">
        <f>"08/11/2021"</f>
        <v>08/11/2021</v>
      </c>
      <c r="L503" t="str">
        <f>"25/01/2021"</f>
        <v>25/01/2021</v>
      </c>
      <c r="M503" t="str">
        <f>""</f>
        <v/>
      </c>
      <c r="N503" t="str">
        <f>"Ing. FABIO MURARO"</f>
        <v>Ing. FABIO MURARO</v>
      </c>
      <c r="O503" t="str">
        <f>"Ing. FABIO MURARO"</f>
        <v>Ing. FABIO MURARO</v>
      </c>
      <c r="P503" t="str">
        <f>"ZF51BEB06A: [1040.00€ ]"</f>
        <v>ZF51BEB06A: [1040.00€ ]</v>
      </c>
      <c r="Q503" t="str">
        <f>""</f>
        <v/>
      </c>
      <c r="R503" t="str">
        <f>""</f>
        <v/>
      </c>
      <c r="S503" t="str">
        <f>""</f>
        <v/>
      </c>
      <c r="T503" t="str">
        <f>"https://portaletrasparenza.consorziobacchiglione.it/dettagli/attodigara/891/redazione-relazione-paesaggistica-e-relazione-di-non-incidenza-ambientale-sic-zps-processo-id-023-16.html"</f>
        <v>https://portaletrasparenza.consorziobacchiglione.it/dettagli/attodigara/891/redazione-relazione-paesaggistica-e-relazione-di-non-incidenza-ambientale-sic-zps-processo-id-023-16.html</v>
      </c>
      <c r="U503" t="str">
        <f>""</f>
        <v/>
      </c>
      <c r="V5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04" spans="1:22" x14ac:dyDescent="0.3">
      <c r="A504" t="str">
        <f>"Affidamento"</f>
        <v>Affidamento</v>
      </c>
      <c r="B504" t="str">
        <f>"Fornitura di n.4 nuovi trasmittenti bicanale per cancello carraio presso magazzino in località Conche di Codevigo"</f>
        <v>Fornitura di n.4 nuovi trasmittenti bicanale per cancello carraio presso magazzino in località Conche di Codevigo</v>
      </c>
      <c r="C504" t="str">
        <f>"ZA533CC10B"</f>
        <v>ZA533CC10B</v>
      </c>
      <c r="D504" t="str">
        <f>"10/11/2021"</f>
        <v>10/11/2021</v>
      </c>
      <c r="E504" t="str">
        <f>""</f>
        <v/>
      </c>
      <c r="F504" t="str">
        <f>""</f>
        <v/>
      </c>
      <c r="G504" t="str">
        <f>"135.20"</f>
        <v>135.20</v>
      </c>
      <c r="H504" t="str">
        <f>"Consorzio di bonifica Bacchiglione"</f>
        <v>Consorzio di bonifica Bacchiglione</v>
      </c>
      <c r="I504" t="str">
        <f>"92223390284"</f>
        <v>92223390284</v>
      </c>
      <c r="J504" t="str">
        <f>"23-AFFIDAMENTO DIRETTO"</f>
        <v>23-AFFIDAMENTO DIRETTO</v>
      </c>
      <c r="K504" t="str">
        <f>"08/11/2021"</f>
        <v>08/11/2021</v>
      </c>
      <c r="L504" t="str">
        <f>"31/03/2022"</f>
        <v>31/03/2022</v>
      </c>
      <c r="M504" t="str">
        <f>""</f>
        <v/>
      </c>
      <c r="N504" t="str">
        <f>"Centro Automazioni Tau S.N.C. di Fasolo Giancarlo e La Licata Nicola Via Castellana 198-D - 30174 - Venezia (VE)"</f>
        <v>Centro Automazioni Tau S.N.C. di Fasolo Giancarlo e La Licata Nicola Via Castellana 198-D - 30174 - Venezia (VE)</v>
      </c>
      <c r="O504" t="str">
        <f>"Centro Automazioni Tau S.N.C. di Fasolo Giancarlo e La Licata Nicola Via Castellana 198-D - 30174 - Venezia (VE)"</f>
        <v>Centro Automazioni Tau S.N.C. di Fasolo Giancarlo e La Licata Nicola Via Castellana 198-D - 30174 - Venezia (VE)</v>
      </c>
      <c r="P504" t="str">
        <f>"ZA533CC10B: [135.20€ ]"</f>
        <v>ZA533CC10B: [135.20€ ]</v>
      </c>
      <c r="Q504" t="str">
        <f>""</f>
        <v/>
      </c>
      <c r="R504" t="str">
        <f>""</f>
        <v/>
      </c>
      <c r="S504" t="str">
        <f>""</f>
        <v/>
      </c>
      <c r="T504" t="str">
        <f>"https://portaletrasparenza.consorziobacchiglione.it/dettagli/attodigara/7263/fornitura-di-n-4-nuovi-trasmittenti-bicanale-per-cancello-carraio-presso-magazzino-in-localita-conche-di-codevigo.html"</f>
        <v>https://portaletrasparenza.consorziobacchiglione.it/dettagli/attodigara/7263/fornitura-di-n-4-nuovi-trasmittenti-bicanale-per-cancello-carraio-presso-magazzino-in-localita-conche-di-codevigo.html</v>
      </c>
      <c r="U504" t="str">
        <f>"https://portaletrasparenza.consorziobacchiglione.it/download/attodigara/7263/63ac45e62a290.PDF"</f>
        <v>https://portaletrasparenza.consorziobacchiglione.it/download/attodigara/7263/63ac45e62a290.PDF</v>
      </c>
      <c r="V5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05" spans="1:22" x14ac:dyDescent="0.3">
      <c r="A505" t="str">
        <f>"Affidamento"</f>
        <v>Affidamento</v>
      </c>
      <c r="B505" t="str">
        <f>"Fornitura n 4 pneumatici per mezzo con targa: AGK711"</f>
        <v>Fornitura n 4 pneumatici per mezzo con targa: AGK711</v>
      </c>
      <c r="C505" t="str">
        <f>"Z7017F0879"</f>
        <v>Z7017F0879</v>
      </c>
      <c r="D505" t="str">
        <f>"04/11/2021"</f>
        <v>04/11/2021</v>
      </c>
      <c r="E505" t="str">
        <f>""</f>
        <v/>
      </c>
      <c r="F505" t="str">
        <f>""</f>
        <v/>
      </c>
      <c r="G505" t="str">
        <f>"1258.80"</f>
        <v>1258.80</v>
      </c>
      <c r="H505" t="str">
        <f>"Consorzio di bonifica Bacchiglione"</f>
        <v>Consorzio di bonifica Bacchiglione</v>
      </c>
      <c r="I505" t="str">
        <f>"92223390284"</f>
        <v>92223390284</v>
      </c>
      <c r="J505" t="str">
        <f>"23-AFFIDAMENTO DIRETTO"</f>
        <v>23-AFFIDAMENTO DIRETTO</v>
      </c>
      <c r="K505" t="str">
        <f>"09/01/2021"</f>
        <v>09/01/2021</v>
      </c>
      <c r="L505" t="str">
        <f>"12/02/2021"</f>
        <v>12/02/2021</v>
      </c>
      <c r="M505" t="str">
        <f>""</f>
        <v/>
      </c>
      <c r="N505" t="str">
        <f>"Galesso Roberto Via San Rocco 52B 35028 Piove di Sacco PD"</f>
        <v>Galesso Roberto Via San Rocco 52B 35028 Piove di Sacco PD</v>
      </c>
      <c r="O505" t="str">
        <f>"Galesso Roberto Via San Rocco 52B 35028 Piove di Sacco PD"</f>
        <v>Galesso Roberto Via San Rocco 52B 35028 Piove di Sacco PD</v>
      </c>
      <c r="P505" t="str">
        <f>"Z7017F0879: [1258.80€ ]"</f>
        <v>Z7017F0879: [1258.80€ ]</v>
      </c>
      <c r="Q505" t="str">
        <f>""</f>
        <v/>
      </c>
      <c r="R505" t="str">
        <f>""</f>
        <v/>
      </c>
      <c r="S505" t="str">
        <f>""</f>
        <v/>
      </c>
      <c r="T505" t="str">
        <f>"https://portaletrasparenza.consorziobacchiglione.it/dettagli/attodigara/37/fornitura-n-4-pneumatici-per-mezzo-con-targa-agk711.html"</f>
        <v>https://portaletrasparenza.consorziobacchiglione.it/dettagli/attodigara/37/fornitura-n-4-pneumatici-per-mezzo-con-targa-agk711.html</v>
      </c>
      <c r="U505" t="str">
        <f>""</f>
        <v/>
      </c>
      <c r="V50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06" spans="1:22" x14ac:dyDescent="0.3">
      <c r="A506" t="str">
        <f>"Affidamento"</f>
        <v>Affidamento</v>
      </c>
      <c r="B506" t="str">
        <f>"Fornitura n 6 pneumatici per Daily con targa: DN881SC."</f>
        <v>Fornitura n 6 pneumatici per Daily con targa: DN881SC.</v>
      </c>
      <c r="C506" t="str">
        <f>"Z3917F085B"</f>
        <v>Z3917F085B</v>
      </c>
      <c r="D506" t="str">
        <f>"04/11/2021"</f>
        <v>04/11/2021</v>
      </c>
      <c r="E506" t="str">
        <f>""</f>
        <v/>
      </c>
      <c r="F506" t="str">
        <f>""</f>
        <v/>
      </c>
      <c r="G506" t="str">
        <f>"643.80"</f>
        <v>643.80</v>
      </c>
      <c r="H506" t="str">
        <f>"Consorzio di bonifica Bacchiglione"</f>
        <v>Consorzio di bonifica Bacchiglione</v>
      </c>
      <c r="I506" t="str">
        <f>"92223390284"</f>
        <v>92223390284</v>
      </c>
      <c r="J506" t="str">
        <f>"23-AFFIDAMENTO DIRETTO"</f>
        <v>23-AFFIDAMENTO DIRETTO</v>
      </c>
      <c r="K506" t="str">
        <f>"09/01/2021"</f>
        <v>09/01/2021</v>
      </c>
      <c r="L506" t="str">
        <f>"12/02/2021"</f>
        <v>12/02/2021</v>
      </c>
      <c r="M506" t="str">
        <f>""</f>
        <v/>
      </c>
      <c r="N506" t="str">
        <f>"Galesso Roberto Via San Rocco 52B 35028 Piove di Sacco PD"</f>
        <v>Galesso Roberto Via San Rocco 52B 35028 Piove di Sacco PD</v>
      </c>
      <c r="O506" t="str">
        <f>"Galesso Roberto Via San Rocco 52B 35028 Piove di Sacco PD"</f>
        <v>Galesso Roberto Via San Rocco 52B 35028 Piove di Sacco PD</v>
      </c>
      <c r="P506" t="str">
        <f>"Z3917F085B: [643.80€ ]"</f>
        <v>Z3917F085B: [643.80€ ]</v>
      </c>
      <c r="Q506" t="str">
        <f>""</f>
        <v/>
      </c>
      <c r="R506" t="str">
        <f>""</f>
        <v/>
      </c>
      <c r="S506" t="str">
        <f>""</f>
        <v/>
      </c>
      <c r="T506" t="str">
        <f>"https://portaletrasparenza.consorziobacchiglione.it/dettagli/attodigara/36/fornitura-n-6-pneumatici-per-daily-con-targa-dn881sc.html"</f>
        <v>https://portaletrasparenza.consorziobacchiglione.it/dettagli/attodigara/36/fornitura-n-6-pneumatici-per-daily-con-targa-dn881sc.html</v>
      </c>
      <c r="U506" t="str">
        <f>""</f>
        <v/>
      </c>
      <c r="V5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07" spans="1:22" x14ac:dyDescent="0.3">
      <c r="A507" t="str">
        <f>"Affidamento"</f>
        <v>Affidamento</v>
      </c>
      <c r="B507" t="str">
        <f>"Noleggio escavatore cingolato Hitachi zx 210 più vibroinfissore per frana scolo Nuovissimo."</f>
        <v>Noleggio escavatore cingolato Hitachi zx 210 più vibroinfissore per frana scolo Nuovissimo.</v>
      </c>
      <c r="C507" t="str">
        <f>"ZF217F0837"</f>
        <v>ZF217F0837</v>
      </c>
      <c r="D507" t="str">
        <f>"04/11/2021"</f>
        <v>04/11/2021</v>
      </c>
      <c r="E507" t="str">
        <f>""</f>
        <v/>
      </c>
      <c r="F507" t="str">
        <f>""</f>
        <v/>
      </c>
      <c r="G507" t="str">
        <f>"1980.00"</f>
        <v>1980.00</v>
      </c>
      <c r="H507" t="str">
        <f>"Consorzio di bonifica Bacchiglione"</f>
        <v>Consorzio di bonifica Bacchiglione</v>
      </c>
      <c r="I507" t="str">
        <f>"92223390284"</f>
        <v>92223390284</v>
      </c>
      <c r="J507" t="str">
        <f>"23-AFFIDAMENTO DIRETTO"</f>
        <v>23-AFFIDAMENTO DIRETTO</v>
      </c>
      <c r="K507" t="str">
        <f>"09/01/2021"</f>
        <v>09/01/2021</v>
      </c>
      <c r="L507" t="str">
        <f>"02/02/2021"</f>
        <v>02/02/2021</v>
      </c>
      <c r="M507" t="str">
        <f>""</f>
        <v/>
      </c>
      <c r="N507" t="str">
        <f>"Sorme Noleggi s.a.s. Via Monache 21 35030 Selvazzano Dentro PD"</f>
        <v>Sorme Noleggi s.a.s. Via Monache 21 35030 Selvazzano Dentro PD</v>
      </c>
      <c r="O507" t="str">
        <f>"Sorme Noleggi s.a.s. Via Monache 21 35030 Selvazzano Dentro PD"</f>
        <v>Sorme Noleggi s.a.s. Via Monache 21 35030 Selvazzano Dentro PD</v>
      </c>
      <c r="P507" t="str">
        <f>"ZF217F0837: [1980.00€ ]"</f>
        <v>ZF217F0837: [1980.00€ ]</v>
      </c>
      <c r="Q507" t="str">
        <f>""</f>
        <v/>
      </c>
      <c r="R507" t="str">
        <f>""</f>
        <v/>
      </c>
      <c r="S507" t="str">
        <f>""</f>
        <v/>
      </c>
      <c r="T507" t="str">
        <f>"https://portaletrasparenza.consorziobacchiglione.it/dettagli/attodigara/35/noleggio-escavatore-cingolato-hitachi-zx-210-piu-vibroinfissore-per-frana-scolo-nuovissimo.html"</f>
        <v>https://portaletrasparenza.consorziobacchiglione.it/dettagli/attodigara/35/noleggio-escavatore-cingolato-hitachi-zx-210-piu-vibroinfissore-per-frana-scolo-nuovissimo.html</v>
      </c>
      <c r="U507" t="str">
        <f>""</f>
        <v/>
      </c>
      <c r="V50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08" spans="1:22" x14ac:dyDescent="0.3">
      <c r="A508" t="str">
        <f>"Affidamento"</f>
        <v>Affidamento</v>
      </c>
      <c r="B508" t="str">
        <f>"Progettazione strutturale manufatti in c.a. - Processo ID 012-13."</f>
        <v>Progettazione strutturale manufatti in c.a. - Processo ID 012-13.</v>
      </c>
      <c r="C508" t="str">
        <f>"Z7417F0892"</f>
        <v>Z7417F0892</v>
      </c>
      <c r="D508" t="str">
        <f>"04/11/2021"</f>
        <v>04/11/2021</v>
      </c>
      <c r="E508" t="str">
        <f>""</f>
        <v/>
      </c>
      <c r="F508" t="str">
        <f>""</f>
        <v/>
      </c>
      <c r="G508" t="str">
        <f>"1872.00"</f>
        <v>1872.00</v>
      </c>
      <c r="H508" t="str">
        <f>"Consorzio di bonifica Bacchiglione"</f>
        <v>Consorzio di bonifica Bacchiglione</v>
      </c>
      <c r="I508" t="str">
        <f>"92223390284"</f>
        <v>92223390284</v>
      </c>
      <c r="J508" t="str">
        <f>"23-AFFIDAMENTO DIRETTO"</f>
        <v>23-AFFIDAMENTO DIRETTO</v>
      </c>
      <c r="K508" t="str">
        <f>"09/01/2021"</f>
        <v>09/01/2021</v>
      </c>
      <c r="L508" t="str">
        <f>"17/03/2021"</f>
        <v>17/03/2021</v>
      </c>
      <c r="M508" t="str">
        <f>""</f>
        <v/>
      </c>
      <c r="N508" t="str">
        <f>"SIST - Studio di Ingegneria Strutturale Organte E Bortot"</f>
        <v>SIST - Studio di Ingegneria Strutturale Organte E Bortot</v>
      </c>
      <c r="O508" t="str">
        <f>"SIST - Studio di Ingegneria Strutturale Organte E Bortot"</f>
        <v>SIST - Studio di Ingegneria Strutturale Organte E Bortot</v>
      </c>
      <c r="P508" t="str">
        <f>"Z7417F0892: [1872.00€ ]"</f>
        <v>Z7417F0892: [1872.00€ ]</v>
      </c>
      <c r="Q508" t="str">
        <f>""</f>
        <v/>
      </c>
      <c r="R508" t="str">
        <f>""</f>
        <v/>
      </c>
      <c r="S508" t="str">
        <f>""</f>
        <v/>
      </c>
      <c r="T508" t="str">
        <f>"https://portaletrasparenza.consorziobacchiglione.it/dettagli/attodigara/34/progettazione-strutturale-manufatti-in-c-a-processo-id-012-13.html"</f>
        <v>https://portaletrasparenza.consorziobacchiglione.it/dettagli/attodigara/34/progettazione-strutturale-manufatti-in-c-a-processo-id-012-13.html</v>
      </c>
      <c r="U508" t="str">
        <f>""</f>
        <v/>
      </c>
      <c r="V5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09" spans="1:22" x14ac:dyDescent="0.3">
      <c r="A509" t="str">
        <f>"Affidamento"</f>
        <v>Affidamento</v>
      </c>
      <c r="B509" t="str">
        <f>"Manutenzione e riparazione mezzo con targa: AJ206BM"</f>
        <v>Manutenzione e riparazione mezzo con targa: AJ206BM</v>
      </c>
      <c r="C509" t="str">
        <f>"Z1B301EE16"</f>
        <v>Z1B301EE16</v>
      </c>
      <c r="D509" t="str">
        <f>"11/01/2021"</f>
        <v>11/01/2021</v>
      </c>
      <c r="E509" t="str">
        <f>""</f>
        <v/>
      </c>
      <c r="F509" t="str">
        <f>""</f>
        <v/>
      </c>
      <c r="G509" t="str">
        <f>"878.04"</f>
        <v>878.04</v>
      </c>
      <c r="H509" t="str">
        <f>"Consorzio di bonifica Bacchiglione"</f>
        <v>Consorzio di bonifica Bacchiglione</v>
      </c>
      <c r="I509" t="str">
        <f>"92223390284"</f>
        <v>92223390284</v>
      </c>
      <c r="J509" t="str">
        <f>"23-AFFIDAMENTO DIRETTO"</f>
        <v>23-AFFIDAMENTO DIRETTO</v>
      </c>
      <c r="K509" t="str">
        <f>"09/01/2021"</f>
        <v>09/01/2021</v>
      </c>
      <c r="L509" t="str">
        <f>"28/01/2021"</f>
        <v>28/01/2021</v>
      </c>
      <c r="M509" t="str">
        <f>""</f>
        <v/>
      </c>
      <c r="N509" t="str">
        <f>"Officina Autotreni Carraro Franco srl Via Gelsi 79 35028 Piove di Sacco PD"</f>
        <v>Officina Autotreni Carraro Franco srl Via Gelsi 79 35028 Piove di Sacco PD</v>
      </c>
      <c r="O509" t="str">
        <f>"Officina Autotreni Carraro Franco srl Via Gelsi 79 35028 Piove di Sacco PD"</f>
        <v>Officina Autotreni Carraro Franco srl Via Gelsi 79 35028 Piove di Sacco PD</v>
      </c>
      <c r="P509" t="str">
        <f>"Z1B301EE16: [878.04€ ]"</f>
        <v>Z1B301EE16: [878.04€ ]</v>
      </c>
      <c r="Q509" t="str">
        <f>""</f>
        <v/>
      </c>
      <c r="R509" t="str">
        <f>""</f>
        <v/>
      </c>
      <c r="S509" t="str">
        <f>""</f>
        <v/>
      </c>
      <c r="T509" t="str">
        <f>"https://portaletrasparenza.consorziobacchiglione.it/dettagli/attodigara/6536/manutenzione-e-riparazione-mezzo-con-targa-aj206bm.html"</f>
        <v>https://portaletrasparenza.consorziobacchiglione.it/dettagli/attodigara/6536/manutenzione-e-riparazione-mezzo-con-targa-aj206bm.html</v>
      </c>
      <c r="U509" t="str">
        <f>"https://portaletrasparenza.consorziobacchiglione.it/download/attodigara/6536/63ac4546a1ac4.PDF"</f>
        <v>https://portaletrasparenza.consorziobacchiglione.it/download/attodigara/6536/63ac4546a1ac4.PDF</v>
      </c>
      <c r="V5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10" spans="1:22" x14ac:dyDescent="0.3">
      <c r="A510" t="str">
        <f>"Affidamento"</f>
        <v>Affidamento</v>
      </c>
      <c r="B510" t="str">
        <f>"Riparazione gomma del mezzo targato: AGZ838"</f>
        <v>Riparazione gomma del mezzo targato: AGZ838</v>
      </c>
      <c r="C510" t="str">
        <f>"ZE3308FF08"</f>
        <v>ZE3308FF08</v>
      </c>
      <c r="D510" t="str">
        <f>"09/02/2021"</f>
        <v>09/02/2021</v>
      </c>
      <c r="E510" t="str">
        <f>""</f>
        <v/>
      </c>
      <c r="F510" t="str">
        <f>""</f>
        <v/>
      </c>
      <c r="G510" t="str">
        <f>"75.00"</f>
        <v>75.00</v>
      </c>
      <c r="H510" t="str">
        <f>"Consorzio di bonifica Bacchiglione"</f>
        <v>Consorzio di bonifica Bacchiglione</v>
      </c>
      <c r="I510" t="str">
        <f>"92223390284"</f>
        <v>92223390284</v>
      </c>
      <c r="J510" t="str">
        <f>"23-AFFIDAMENTO DIRETTO"</f>
        <v>23-AFFIDAMENTO DIRETTO</v>
      </c>
      <c r="K510" t="str">
        <f>"09/02/2021"</f>
        <v>09/02/2021</v>
      </c>
      <c r="L510" t="str">
        <f>"15/02/2021"</f>
        <v>15/02/2021</v>
      </c>
      <c r="M510" t="str">
        <f>""</f>
        <v/>
      </c>
      <c r="N510" t="str">
        <f>"Galesso Roberto Via San Rocco 52B 35028 Piove di Sacco PD"</f>
        <v>Galesso Roberto Via San Rocco 52B 35028 Piove di Sacco PD</v>
      </c>
      <c r="O510" t="str">
        <f>"Galesso Roberto Via San Rocco 52B 35028 Piove di Sacco PD"</f>
        <v>Galesso Roberto Via San Rocco 52B 35028 Piove di Sacco PD</v>
      </c>
      <c r="P510" t="str">
        <f>"ZE3308FF08: [75.00€ ]"</f>
        <v>ZE3308FF08: [75.00€ ]</v>
      </c>
      <c r="Q510" t="str">
        <f>""</f>
        <v/>
      </c>
      <c r="R510" t="str">
        <f>""</f>
        <v/>
      </c>
      <c r="S510" t="str">
        <f>""</f>
        <v/>
      </c>
      <c r="T510" t="str">
        <f>"https://portaletrasparenza.consorziobacchiglione.it/dettagli/attodigara/6621/riparazione-gomma-del-mezzo-targato-agz838.html"</f>
        <v>https://portaletrasparenza.consorziobacchiglione.it/dettagli/attodigara/6621/riparazione-gomma-del-mezzo-targato-agz838.html</v>
      </c>
      <c r="U510" t="str">
        <f>"https://portaletrasparenza.consorziobacchiglione.it/download/attodigara/6621/63ac455945e02.PDF"</f>
        <v>https://portaletrasparenza.consorziobacchiglione.it/download/attodigara/6621/63ac455945e02.PDF</v>
      </c>
      <c r="V5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11" spans="1:22" x14ac:dyDescent="0.3">
      <c r="A511" t="str">
        <f>"Affidamento"</f>
        <v>Affidamento</v>
      </c>
      <c r="B511" t="str">
        <f>"Attività propedeutica al progetto di fattibilità. Integrazione - Processo ID 012-20."</f>
        <v>Attività propedeutica al progetto di fattibilità. Integrazione - Processo ID 012-20.</v>
      </c>
      <c r="C511" t="str">
        <f>"Z9630902CA"</f>
        <v>Z9630902CA</v>
      </c>
      <c r="D511" t="str">
        <f>"09/02/2021"</f>
        <v>09/02/2021</v>
      </c>
      <c r="E511" t="str">
        <f>""</f>
        <v/>
      </c>
      <c r="F511" t="str">
        <f>""</f>
        <v/>
      </c>
      <c r="G511" t="str">
        <f>"6500.00"</f>
        <v>6500.00</v>
      </c>
      <c r="H511" t="str">
        <f>"Consorzio di bonifica Bacchiglione"</f>
        <v>Consorzio di bonifica Bacchiglione</v>
      </c>
      <c r="I511" t="str">
        <f>"92223390284"</f>
        <v>92223390284</v>
      </c>
      <c r="J511" t="str">
        <f>"23-AFFIDAMENTO DIRETTO"</f>
        <v>23-AFFIDAMENTO DIRETTO</v>
      </c>
      <c r="K511" t="str">
        <f>"09/02/2021"</f>
        <v>09/02/2021</v>
      </c>
      <c r="L511" t="str">
        <f>"31/12/2021"</f>
        <v>31/12/2021</v>
      </c>
      <c r="M511" t="str">
        <f>""</f>
        <v/>
      </c>
      <c r="N511" t="str">
        <f>"Foredil SRL"</f>
        <v>Foredil SRL</v>
      </c>
      <c r="O511" t="str">
        <f>"Foredil SRL"</f>
        <v>Foredil SRL</v>
      </c>
      <c r="P511" t="str">
        <f>"Z9630902CA: [2640.00€ ]"</f>
        <v>Z9630902CA: [2640.00€ ]</v>
      </c>
      <c r="Q511" t="str">
        <f>""</f>
        <v/>
      </c>
      <c r="R511" t="str">
        <f>""</f>
        <v/>
      </c>
      <c r="S511" t="str">
        <f>""</f>
        <v/>
      </c>
      <c r="T511" t="str">
        <f>"https://portaletrasparenza.consorziobacchiglione.it/dettagli/attodigara/6622/attivita-propedeutica-al-progetto-di-fattibilita-integrazione-processo-id-012-20.html"</f>
        <v>https://portaletrasparenza.consorziobacchiglione.it/dettagli/attodigara/6622/attivita-propedeutica-al-progetto-di-fattibilita-integrazione-processo-id-012-20.html</v>
      </c>
      <c r="U511" t="str">
        <f>"https://portaletrasparenza.consorziobacchiglione.it/download/attodigara/6622/63ac4559ef4d0.PDF"</f>
        <v>https://portaletrasparenza.consorziobacchiglione.it/download/attodigara/6622/63ac4559ef4d0.PDF</v>
      </c>
      <c r="V511">
        <f>(SUBSTITUTE(Tabella1[[#This Row],[Importo di aggiudicazione]],".",","))-(SUBSTITUTE(  SUBSTITUTE(          SUBSTITUTE(Tabella1[[#This Row],[Dettaglio somme liquidate]],Tabella1[[#This Row],[CIG]]&amp;": [",""),"€ ]",""),".",","))</f>
        <v>3860</v>
      </c>
    </row>
    <row r="512" spans="1:22" x14ac:dyDescent="0.3">
      <c r="A512" t="str">
        <f>"Affidamento"</f>
        <v>Affidamento</v>
      </c>
      <c r="B512" t="str">
        <f>"Fornitura n.2000 mascherine chirurgiche 3 strati, più n.200 mascherine senza valvola FFP2 per personale consortile"</f>
        <v>Fornitura n.2000 mascherine chirurgiche 3 strati, più n.200 mascherine senza valvola FFP2 per personale consortile</v>
      </c>
      <c r="C512" t="str">
        <f>"Z3F3092435"</f>
        <v>Z3F3092435</v>
      </c>
      <c r="D512" t="str">
        <f>"10/02/2021"</f>
        <v>10/02/2021</v>
      </c>
      <c r="E512" t="str">
        <f>""</f>
        <v/>
      </c>
      <c r="F512" t="str">
        <f>""</f>
        <v/>
      </c>
      <c r="G512" t="str">
        <f>"760.00"</f>
        <v>760.00</v>
      </c>
      <c r="H512" t="str">
        <f>"Consorzio di bonifica Bacchiglione"</f>
        <v>Consorzio di bonifica Bacchiglione</v>
      </c>
      <c r="I512" t="str">
        <f>"92223390284"</f>
        <v>92223390284</v>
      </c>
      <c r="J512" t="str">
        <f>"23-AFFIDAMENTO DIRETTO"</f>
        <v>23-AFFIDAMENTO DIRETTO</v>
      </c>
      <c r="K512" t="str">
        <f>"09/02/2021"</f>
        <v>09/02/2021</v>
      </c>
      <c r="L512" t="str">
        <f>"24/02/2021"</f>
        <v>24/02/2021</v>
      </c>
      <c r="M512" t="str">
        <f>""</f>
        <v/>
      </c>
      <c r="N512" t="str">
        <f>"Bianchi Ingrosso S.R.L. Via Desman 503 - 35010 Borgoricco (PD)"</f>
        <v>Bianchi Ingrosso S.R.L. Via Desman 503 - 35010 Borgoricco (PD)</v>
      </c>
      <c r="O512" t="str">
        <f>"Bianchi Ingrosso S.R.L. Via Desman 503 - 35010 Borgoricco (PD)"</f>
        <v>Bianchi Ingrosso S.R.L. Via Desman 503 - 35010 Borgoricco (PD)</v>
      </c>
      <c r="P512" t="str">
        <f>"Z3F3092435: [760.00€ ]"</f>
        <v>Z3F3092435: [760.00€ ]</v>
      </c>
      <c r="Q512" t="str">
        <f>""</f>
        <v/>
      </c>
      <c r="R512" t="str">
        <f>""</f>
        <v/>
      </c>
      <c r="S512" t="str">
        <f>""</f>
        <v/>
      </c>
      <c r="T512" t="str">
        <f>"https://portaletrasparenza.consorziobacchiglione.it/dettagli/attodigara/6623/fornitura-n-2000-mascherine-chirurgiche-3-strati-piu-n-200-mascherine-senza-valvola-ffp2-per-personale-consortile.html"</f>
        <v>https://portaletrasparenza.consorziobacchiglione.it/dettagli/attodigara/6623/fornitura-n-2000-mascherine-chirurgiche-3-strati-piu-n-200-mascherine-senza-valvola-ffp2-per-personale-consortile.html</v>
      </c>
      <c r="U512" t="str">
        <f>"https://portaletrasparenza.consorziobacchiglione.it/download/attodigara/6623/63ac455a33ad8.PDF"</f>
        <v>https://portaletrasparenza.consorziobacchiglione.it/download/attodigara/6623/63ac455a33ad8.PDF</v>
      </c>
      <c r="V5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13" spans="1:22" x14ac:dyDescent="0.3">
      <c r="A513" t="str">
        <f>"Affidamento"</f>
        <v>Affidamento</v>
      </c>
      <c r="B513" t="str">
        <f>"FORNITURA N.20 DOSATORI IGIENIZZANTE GEL MANI DA 500 ML PIÙ N.2 IGIENIZZANTE DA 5 LT PER SEDE CONSORZIALE - SOSTITUISCE E ANNULLA LA DETERMINA 840/2020 - CAUSA ERRATO IMPORTO"</f>
        <v>FORNITURA N.20 DOSATORI IGIENIZZANTE GEL MANI DA 500 ML PIÙ N.2 IGIENIZZANTE DA 5 LT PER SEDE CONSORZIALE - SOSTITUISCE E ANNULLA LA DETERMINA 840/2020 - CAUSA ERRATO IMPORTO</v>
      </c>
      <c r="C513" t="str">
        <f>"Z0E2F193E7"</f>
        <v>Z0E2F193E7</v>
      </c>
      <c r="D513" t="str">
        <f>"10/02/2021"</f>
        <v>10/02/2021</v>
      </c>
      <c r="E513" t="str">
        <f>""</f>
        <v/>
      </c>
      <c r="F513" t="str">
        <f>""</f>
        <v/>
      </c>
      <c r="G513" t="str">
        <f>"120.00"</f>
        <v>120.00</v>
      </c>
      <c r="H513" t="str">
        <f>"CONSORZIO DI BONIFICA BACCHIGLIONE"</f>
        <v>CONSORZIO DI BONIFICA BACCHIGLIONE</v>
      </c>
      <c r="I513" t="str">
        <f>"92223390284"</f>
        <v>92223390284</v>
      </c>
      <c r="J513" t="str">
        <f>"23-AFFIDAMENTO DIRETTO"</f>
        <v>23-AFFIDAMENTO DIRETTO</v>
      </c>
      <c r="K513" t="str">
        <f>"09/02/2021"</f>
        <v>09/02/2021</v>
      </c>
      <c r="L513" t="str">
        <f>"31/12/2021"</f>
        <v>31/12/2021</v>
      </c>
      <c r="M513" t="str">
        <f>""</f>
        <v/>
      </c>
      <c r="N513" t="str">
        <f>"Bianchi S.N.C. Via Desman 503 - 35010 Borgorico (PD) | BIANCHI INGROSSO S.R.L."</f>
        <v>Bianchi S.N.C. Via Desman 503 - 35010 Borgorico (PD) | BIANCHI INGROSSO S.R.L.</v>
      </c>
      <c r="O513" t="str">
        <f>"BIANCHI INGROSSO S.R.L."</f>
        <v>BIANCHI INGROSSO S.R.L.</v>
      </c>
      <c r="P513" t="str">
        <f>"Z0E2F193E7: [120.00€ ]"</f>
        <v>Z0E2F193E7: [120.00€ ]</v>
      </c>
      <c r="Q513" t="str">
        <f>""</f>
        <v/>
      </c>
      <c r="R513" t="str">
        <f>""</f>
        <v/>
      </c>
      <c r="S513" t="str">
        <f>""</f>
        <v/>
      </c>
      <c r="T513" t="str">
        <f>"https://portaletrasparenza.consorziobacchiglione.it/dettagli/attodigara/3991/fornitura-n-20-dosatori-igienizzante-gel-mani-da-500-ml-piu-n-2-igienizzante-da-5-lt-per-sede-consorziale-sostituisce-e-annulla-la-determina-840-2020-causa-errato-importo.html"</f>
        <v>https://portaletrasparenza.consorziobacchiglione.it/dettagli/attodigara/3991/fornitura-n-20-dosatori-igienizzante-gel-mani-da-500-ml-piu-n-2-igienizzante-da-5-lt-per-sede-consorziale-sostituisce-e-annulla-la-determina-840-2020-causa-errato-importo.html</v>
      </c>
      <c r="U513" t="str">
        <f>"https://portaletrasparenza.consorziobacchiglione.it/download/attodigara/3991/62a20979b63b7.PDF"</f>
        <v>https://portaletrasparenza.consorziobacchiglione.it/download/attodigara/3991/62a20979b63b7.PDF</v>
      </c>
      <c r="V5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14" spans="1:22" x14ac:dyDescent="0.3">
      <c r="A514" t="str">
        <f>"Affidamento"</f>
        <v>Affidamento</v>
      </c>
      <c r="B514" t="str">
        <f>"Fornitura materiale di ferramenta vario per C.O.S.Margherita, Pratiarcati, Montà Portello."</f>
        <v>Fornitura materiale di ferramenta vario per C.O.S.Margherita, Pratiarcati, Montà Portello.</v>
      </c>
      <c r="C514" t="str">
        <f>"Z2618E747C"</f>
        <v>Z2618E747C</v>
      </c>
      <c r="D514" t="str">
        <f>"04/11/2021"</f>
        <v>04/11/2021</v>
      </c>
      <c r="E514" t="str">
        <f>""</f>
        <v/>
      </c>
      <c r="F514" t="str">
        <f>""</f>
        <v/>
      </c>
      <c r="G514" t="str">
        <f>"1457.05"</f>
        <v>1457.05</v>
      </c>
      <c r="H514" t="str">
        <f>"Consorzio di bonifica Bacchiglione"</f>
        <v>Consorzio di bonifica Bacchiglione</v>
      </c>
      <c r="I514" t="str">
        <f>"92223390284"</f>
        <v>92223390284</v>
      </c>
      <c r="J514" t="str">
        <f>"23-AFFIDAMENTO DIRETTO"</f>
        <v>23-AFFIDAMENTO DIRETTO</v>
      </c>
      <c r="K514" t="str">
        <f>"09/03/2021"</f>
        <v>09/03/2021</v>
      </c>
      <c r="L514" t="str">
        <f>"29/03/2021"</f>
        <v>29/03/2021</v>
      </c>
      <c r="M514" t="str">
        <f>""</f>
        <v/>
      </c>
      <c r="N514" t="str">
        <f>"Erre Emme s.n.c. Via Cavour 27 35020 Casalserugo PD"</f>
        <v>Erre Emme s.n.c. Via Cavour 27 35020 Casalserugo PD</v>
      </c>
      <c r="O514" t="str">
        <f>"Erre Emme s.n.c. Via Cavour 27 35020 Casalserugo PD"</f>
        <v>Erre Emme s.n.c. Via Cavour 27 35020 Casalserugo PD</v>
      </c>
      <c r="P514" t="str">
        <f>"Z2618E747C: [1457.05€ ]"</f>
        <v>Z2618E747C: [1457.05€ ]</v>
      </c>
      <c r="Q514" t="str">
        <f>""</f>
        <v/>
      </c>
      <c r="R514" t="str">
        <f>""</f>
        <v/>
      </c>
      <c r="S514" t="str">
        <f>""</f>
        <v/>
      </c>
      <c r="T514" t="str">
        <f>"https://portaletrasparenza.consorziobacchiglione.it/dettagli/attodigara/211/fornitura-materiale-di-ferramenta-vario-per-c-o-s-margherita-pratiarcati-monta-portello.html"</f>
        <v>https://portaletrasparenza.consorziobacchiglione.it/dettagli/attodigara/211/fornitura-materiale-di-ferramenta-vario-per-c-o-s-margherita-pratiarcati-monta-portello.html</v>
      </c>
      <c r="U514" t="str">
        <f>""</f>
        <v/>
      </c>
      <c r="V51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15" spans="1:22" x14ac:dyDescent="0.3">
      <c r="A515" t="str">
        <f>"Affidamento"</f>
        <v>Affidamento</v>
      </c>
      <c r="B515" t="str">
        <f>"Fornitura n 2 interruttori elettrici per C.O.S.Margherita."</f>
        <v>Fornitura n 2 interruttori elettrici per C.O.S.Margherita.</v>
      </c>
      <c r="C515" t="str">
        <f>"Z0618E6DD2"</f>
        <v>Z0618E6DD2</v>
      </c>
      <c r="D515" t="str">
        <f>"04/11/2021"</f>
        <v>04/11/2021</v>
      </c>
      <c r="E515" t="str">
        <f>""</f>
        <v/>
      </c>
      <c r="F515" t="str">
        <f>""</f>
        <v/>
      </c>
      <c r="G515" t="str">
        <f>"321.89"</f>
        <v>321.89</v>
      </c>
      <c r="H515" t="str">
        <f>"Consorzio di bonifica Bacchiglione"</f>
        <v>Consorzio di bonifica Bacchiglione</v>
      </c>
      <c r="I515" t="str">
        <f>"92223390284"</f>
        <v>92223390284</v>
      </c>
      <c r="J515" t="str">
        <f>"23-AFFIDAMENTO DIRETTO"</f>
        <v>23-AFFIDAMENTO DIRETTO</v>
      </c>
      <c r="K515" t="str">
        <f>"09/03/2021"</f>
        <v>09/03/2021</v>
      </c>
      <c r="L515" t="str">
        <f>"30/05/2021"</f>
        <v>30/05/2021</v>
      </c>
      <c r="M515" t="str">
        <f>""</f>
        <v/>
      </c>
      <c r="N515" t="str">
        <f>"Sonepar Italia Nord S.p.A. Riviera Maestri del lavoro 24 35127 Padova"</f>
        <v>Sonepar Italia Nord S.p.A. Riviera Maestri del lavoro 24 35127 Padova</v>
      </c>
      <c r="O515" t="str">
        <f>"Sonepar Italia Nord S.p.A. Riviera Maestri del lavoro 24 35127 Padova"</f>
        <v>Sonepar Italia Nord S.p.A. Riviera Maestri del lavoro 24 35127 Padova</v>
      </c>
      <c r="P515" t="str">
        <f>"Z0618E6DD2: [321.89€ ]"</f>
        <v>Z0618E6DD2: [321.89€ ]</v>
      </c>
      <c r="Q515" t="str">
        <f>""</f>
        <v/>
      </c>
      <c r="R515" t="str">
        <f>""</f>
        <v/>
      </c>
      <c r="S515" t="str">
        <f>""</f>
        <v/>
      </c>
      <c r="T515" t="str">
        <f>"https://portaletrasparenza.consorziobacchiglione.it/dettagli/attodigara/210/fornitura-n-2-interruttori-elettrici-per-c-o-s-margherita.html"</f>
        <v>https://portaletrasparenza.consorziobacchiglione.it/dettagli/attodigara/210/fornitura-n-2-interruttori-elettrici-per-c-o-s-margherita.html</v>
      </c>
      <c r="U515" t="str">
        <f>""</f>
        <v/>
      </c>
      <c r="V51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16" spans="1:22" x14ac:dyDescent="0.3">
      <c r="A516" t="str">
        <f>"Affidamento"</f>
        <v>Affidamento</v>
      </c>
      <c r="B516" t="str">
        <f>"Affidamento incarico professionale per rilievo celerimetrico"</f>
        <v>Affidamento incarico professionale per rilievo celerimetrico</v>
      </c>
      <c r="C516" t="str">
        <f>"Z1818E5B24"</f>
        <v>Z1818E5B24</v>
      </c>
      <c r="D516" t="str">
        <f>"04/11/2021"</f>
        <v>04/11/2021</v>
      </c>
      <c r="E516" t="str">
        <f>""</f>
        <v/>
      </c>
      <c r="F516" t="str">
        <f>""</f>
        <v/>
      </c>
      <c r="G516" t="str">
        <f>"766.50"</f>
        <v>766.50</v>
      </c>
      <c r="H516" t="str">
        <f>"Consorzio di bonifica Bacchiglione"</f>
        <v>Consorzio di bonifica Bacchiglione</v>
      </c>
      <c r="I516" t="str">
        <f>"92223390284"</f>
        <v>92223390284</v>
      </c>
      <c r="J516" t="str">
        <f>"23-AFFIDAMENTO DIRETTO"</f>
        <v>23-AFFIDAMENTO DIRETTO</v>
      </c>
      <c r="K516" t="str">
        <f>"09/03/2021"</f>
        <v>09/03/2021</v>
      </c>
      <c r="L516" t="str">
        <f>"08/04/2021"</f>
        <v>08/04/2021</v>
      </c>
      <c r="M516" t="str">
        <f>""</f>
        <v/>
      </c>
      <c r="N516" t="str">
        <f>"Sacco geom. Alessio"</f>
        <v>Sacco geom. Alessio</v>
      </c>
      <c r="O516" t="str">
        <f>"Sacco geom. Alessio"</f>
        <v>Sacco geom. Alessio</v>
      </c>
      <c r="P516" t="str">
        <f>"Z1818E5B24: [766.50€ ]"</f>
        <v>Z1818E5B24: [766.50€ ]</v>
      </c>
      <c r="Q516" t="str">
        <f>""</f>
        <v/>
      </c>
      <c r="R516" t="str">
        <f>""</f>
        <v/>
      </c>
      <c r="S516" t="str">
        <f>""</f>
        <v/>
      </c>
      <c r="T516" t="str">
        <f>"https://portaletrasparenza.consorziobacchiglione.it/dettagli/attodigara/209/affidamento-incarico-professionale-per-rilievo-celerimetrico.html"</f>
        <v>https://portaletrasparenza.consorziobacchiglione.it/dettagli/attodigara/209/affidamento-incarico-professionale-per-rilievo-celerimetrico.html</v>
      </c>
      <c r="U516" t="str">
        <f>""</f>
        <v/>
      </c>
      <c r="V51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17" spans="1:22" x14ac:dyDescent="0.3">
      <c r="A517" t="str">
        <f>"Affidamento"</f>
        <v>Affidamento</v>
      </c>
      <c r="B517" t="str">
        <f>"Fornitura stabilizzato rosso per scolo Piovini."</f>
        <v>Fornitura stabilizzato rosso per scolo Piovini.</v>
      </c>
      <c r="C517" t="str">
        <f>"Z1018E65BB"</f>
        <v>Z1018E65BB</v>
      </c>
      <c r="D517" t="str">
        <f>"04/11/2021"</f>
        <v>04/11/2021</v>
      </c>
      <c r="E517" t="str">
        <f>""</f>
        <v/>
      </c>
      <c r="F517" t="str">
        <f>""</f>
        <v/>
      </c>
      <c r="G517" t="str">
        <f>"61.25"</f>
        <v>61.25</v>
      </c>
      <c r="H517" t="str">
        <f>"Consorzio di bonifica Bacchiglione"</f>
        <v>Consorzio di bonifica Bacchiglione</v>
      </c>
      <c r="I517" t="str">
        <f>"92223390284"</f>
        <v>92223390284</v>
      </c>
      <c r="J517" t="str">
        <f>"23-AFFIDAMENTO DIRETTO"</f>
        <v>23-AFFIDAMENTO DIRETTO</v>
      </c>
      <c r="K517" t="str">
        <f>"09/03/2021"</f>
        <v>09/03/2021</v>
      </c>
      <c r="L517" t="str">
        <f>"14/04/2021"</f>
        <v>14/04/2021</v>
      </c>
      <c r="M517" t="str">
        <f>""</f>
        <v/>
      </c>
      <c r="N517" t="str">
        <f>"Idronord s.r.l. Via delle Industrie 3C 30036 Santa Maria Di Sala VE"</f>
        <v>Idronord s.r.l. Via delle Industrie 3C 30036 Santa Maria Di Sala VE</v>
      </c>
      <c r="O517" t="str">
        <f>"Idronord s.r.l. Via delle Industrie 3C 30036 Santa Maria Di Sala VE"</f>
        <v>Idronord s.r.l. Via delle Industrie 3C 30036 Santa Maria Di Sala VE</v>
      </c>
      <c r="P517" t="str">
        <f>"Z1018E65BB: [61.25€ ]"</f>
        <v>Z1018E65BB: [61.25€ ]</v>
      </c>
      <c r="Q517" t="str">
        <f>""</f>
        <v/>
      </c>
      <c r="R517" t="str">
        <f>""</f>
        <v/>
      </c>
      <c r="S517" t="str">
        <f>""</f>
        <v/>
      </c>
      <c r="T517" t="str">
        <f>"https://portaletrasparenza.consorziobacchiglione.it/dettagli/attodigara/208/fornitura-stabilizzato-rosso-per-scolo-piovini.html"</f>
        <v>https://portaletrasparenza.consorziobacchiglione.it/dettagli/attodigara/208/fornitura-stabilizzato-rosso-per-scolo-piovini.html</v>
      </c>
      <c r="U517" t="str">
        <f>""</f>
        <v/>
      </c>
      <c r="V51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18" spans="1:22" x14ac:dyDescent="0.3">
      <c r="A518" t="str">
        <f>"Affidamento"</f>
        <v>Affidamento</v>
      </c>
      <c r="B518" t="str">
        <f>"Riparazione copertura su mezzo con targa : DA205YW."</f>
        <v>Riparazione copertura su mezzo con targa : DA205YW.</v>
      </c>
      <c r="C518" t="str">
        <f>"ZBB18E62CC"</f>
        <v>ZBB18E62CC</v>
      </c>
      <c r="D518" t="str">
        <f>"04/11/2021"</f>
        <v>04/11/2021</v>
      </c>
      <c r="E518" t="str">
        <f>""</f>
        <v/>
      </c>
      <c r="F518" t="str">
        <f>""</f>
        <v/>
      </c>
      <c r="G518" t="str">
        <f>"20.00"</f>
        <v>20.00</v>
      </c>
      <c r="H518" t="str">
        <f>"Consorzio di bonifica Bacchiglione"</f>
        <v>Consorzio di bonifica Bacchiglione</v>
      </c>
      <c r="I518" t="str">
        <f>"92223390284"</f>
        <v>92223390284</v>
      </c>
      <c r="J518" t="str">
        <f>"23-AFFIDAMENTO DIRETTO"</f>
        <v>23-AFFIDAMENTO DIRETTO</v>
      </c>
      <c r="K518" t="str">
        <f>"09/03/2021"</f>
        <v>09/03/2021</v>
      </c>
      <c r="L518" t="str">
        <f>"14/04/2021"</f>
        <v>14/04/2021</v>
      </c>
      <c r="M518" t="str">
        <f>""</f>
        <v/>
      </c>
      <c r="N518" t="str">
        <f>"Galesso Roberto Via San Rocco 52B 35028 Piove di Sacco PD"</f>
        <v>Galesso Roberto Via San Rocco 52B 35028 Piove di Sacco PD</v>
      </c>
      <c r="O518" t="str">
        <f>"Galesso Roberto Via San Rocco 52B 35028 Piove di Sacco PD"</f>
        <v>Galesso Roberto Via San Rocco 52B 35028 Piove di Sacco PD</v>
      </c>
      <c r="P518" t="str">
        <f>"ZBB18E62CC: [20.00€ ]"</f>
        <v>ZBB18E62CC: [20.00€ ]</v>
      </c>
      <c r="Q518" t="str">
        <f>""</f>
        <v/>
      </c>
      <c r="R518" t="str">
        <f>""</f>
        <v/>
      </c>
      <c r="S518" t="str">
        <f>""</f>
        <v/>
      </c>
      <c r="T518" t="str">
        <f>"https://portaletrasparenza.consorziobacchiglione.it/dettagli/attodigara/207/riparazione-copertura-su-mezzo-con-targa-da205yw.html"</f>
        <v>https://portaletrasparenza.consorziobacchiglione.it/dettagli/attodigara/207/riparazione-copertura-su-mezzo-con-targa-da205yw.html</v>
      </c>
      <c r="U518" t="str">
        <f>""</f>
        <v/>
      </c>
      <c r="V51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19" spans="1:22" x14ac:dyDescent="0.3">
      <c r="A519" t="str">
        <f>"Affidamento"</f>
        <v>Affidamento</v>
      </c>
      <c r="B519" t="str">
        <f>"Controllo annuale gru con rilascio scheda del mezzo con targa: PDB49361."</f>
        <v>Controllo annuale gru con rilascio scheda del mezzo con targa: PDB49361.</v>
      </c>
      <c r="C519" t="str">
        <f>"Z2C18E5E92"</f>
        <v>Z2C18E5E92</v>
      </c>
      <c r="D519" t="str">
        <f>"04/11/2021"</f>
        <v>04/11/2021</v>
      </c>
      <c r="E519" t="str">
        <f>""</f>
        <v/>
      </c>
      <c r="F519" t="str">
        <f>""</f>
        <v/>
      </c>
      <c r="G519" t="str">
        <f>"495.00"</f>
        <v>495.00</v>
      </c>
      <c r="H519" t="str">
        <f>"Consorzio di bonifica Bacchiglione"</f>
        <v>Consorzio di bonifica Bacchiglione</v>
      </c>
      <c r="I519" t="str">
        <f>"92223390284"</f>
        <v>92223390284</v>
      </c>
      <c r="J519" t="str">
        <f>"23-AFFIDAMENTO DIRETTO"</f>
        <v>23-AFFIDAMENTO DIRETTO</v>
      </c>
      <c r="K519" t="str">
        <f>"09/03/2021"</f>
        <v>09/03/2021</v>
      </c>
      <c r="L519" t="str">
        <f>"14/04/2021"</f>
        <v>14/04/2021</v>
      </c>
      <c r="M519" t="str">
        <f>""</f>
        <v/>
      </c>
      <c r="N519" t="str">
        <f>"Moressa s.r.l. Via Cuccara 2 35020 Due Carrare PD"</f>
        <v>Moressa s.r.l. Via Cuccara 2 35020 Due Carrare PD</v>
      </c>
      <c r="O519" t="str">
        <f>"Moressa s.r.l. Via Cuccara 2 35020 Due Carrare PD"</f>
        <v>Moressa s.r.l. Via Cuccara 2 35020 Due Carrare PD</v>
      </c>
      <c r="P519" t="str">
        <f>"Z2C18E5E92: [495.00€ ]"</f>
        <v>Z2C18E5E92: [495.00€ ]</v>
      </c>
      <c r="Q519" t="str">
        <f>""</f>
        <v/>
      </c>
      <c r="R519" t="str">
        <f>""</f>
        <v/>
      </c>
      <c r="S519" t="str">
        <f>""</f>
        <v/>
      </c>
      <c r="T519" t="str">
        <f>"https://portaletrasparenza.consorziobacchiglione.it/dettagli/attodigara/206/controllo-annuale-gru-con-rilascio-scheda-del-mezzo-con-targa-pdb49361.html"</f>
        <v>https://portaletrasparenza.consorziobacchiglione.it/dettagli/attodigara/206/controllo-annuale-gru-con-rilascio-scheda-del-mezzo-con-targa-pdb49361.html</v>
      </c>
      <c r="U519" t="str">
        <f>""</f>
        <v/>
      </c>
      <c r="V51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20" spans="1:22" x14ac:dyDescent="0.3">
      <c r="A520" t="str">
        <f>"Affidamento"</f>
        <v>Affidamento</v>
      </c>
      <c r="B520" t="str">
        <f>"Manutenzione e riparazione mezzo con targa: AKA712"</f>
        <v>Manutenzione e riparazione mezzo con targa: AKA712</v>
      </c>
      <c r="C520" t="str">
        <f>"Z5F18E5CA1"</f>
        <v>Z5F18E5CA1</v>
      </c>
      <c r="D520" t="str">
        <f>"04/11/2021"</f>
        <v>04/11/2021</v>
      </c>
      <c r="E520" t="str">
        <f>""</f>
        <v/>
      </c>
      <c r="F520" t="str">
        <f>""</f>
        <v/>
      </c>
      <c r="G520" t="str">
        <f>"2786.30"</f>
        <v>2786.30</v>
      </c>
      <c r="H520" t="str">
        <f>"Consorzio di bonifica Bacchiglione"</f>
        <v>Consorzio di bonifica Bacchiglione</v>
      </c>
      <c r="I520" t="str">
        <f>"92223390284"</f>
        <v>92223390284</v>
      </c>
      <c r="J520" t="str">
        <f>"23-AFFIDAMENTO DIRETTO"</f>
        <v>23-AFFIDAMENTO DIRETTO</v>
      </c>
      <c r="K520" t="str">
        <f>"09/03/2021"</f>
        <v>09/03/2021</v>
      </c>
      <c r="L520" t="str">
        <f>"11/05/2021"</f>
        <v>11/05/2021</v>
      </c>
      <c r="M520" t="str">
        <f>""</f>
        <v/>
      </c>
      <c r="N520" t="str">
        <f>"Adriatica Commerciale Macchine s.r.l. Via dell'Artigianato 5 35020 Due Carrare PD"</f>
        <v>Adriatica Commerciale Macchine s.r.l. Via dell'Artigianato 5 35020 Due Carrare PD</v>
      </c>
      <c r="O520" t="str">
        <f>"Adriatica Commerciale Macchine s.r.l. Via dell'Artigianato 5 35020 Due Carrare PD"</f>
        <v>Adriatica Commerciale Macchine s.r.l. Via dell'Artigianato 5 35020 Due Carrare PD</v>
      </c>
      <c r="P520" t="str">
        <f>"Z5F18E5CA1: [2786.30€ ]"</f>
        <v>Z5F18E5CA1: [2786.30€ ]</v>
      </c>
      <c r="Q520" t="str">
        <f>""</f>
        <v/>
      </c>
      <c r="R520" t="str">
        <f>""</f>
        <v/>
      </c>
      <c r="S520" t="str">
        <f>""</f>
        <v/>
      </c>
      <c r="T520" t="str">
        <f>"https://portaletrasparenza.consorziobacchiglione.it/dettagli/attodigara/205/manutenzione-e-riparazione-mezzo-con-targa-aka712.html"</f>
        <v>https://portaletrasparenza.consorziobacchiglione.it/dettagli/attodigara/205/manutenzione-e-riparazione-mezzo-con-targa-aka712.html</v>
      </c>
      <c r="U520" t="str">
        <f>""</f>
        <v/>
      </c>
      <c r="V52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21" spans="1:22" x14ac:dyDescent="0.3">
      <c r="A521" t="str">
        <f>"Affidamento"</f>
        <v>Affidamento</v>
      </c>
      <c r="B521" t="str">
        <f>"Manutenzione e riparazione mezzi con targa: AHH573, FF936PM"</f>
        <v>Manutenzione e riparazione mezzi con targa: AHH573, FF936PM</v>
      </c>
      <c r="C521" t="str">
        <f>"ZF930EF89C"</f>
        <v>ZF930EF89C</v>
      </c>
      <c r="D521" t="str">
        <f>"09/03/2021"</f>
        <v>09/03/2021</v>
      </c>
      <c r="E521" t="str">
        <f>""</f>
        <v/>
      </c>
      <c r="F521" t="str">
        <f>""</f>
        <v/>
      </c>
      <c r="G521" t="str">
        <f>"5477.95"</f>
        <v>5477.95</v>
      </c>
      <c r="H521" t="str">
        <f>"Consorzio di bonifica Bacchiglione"</f>
        <v>Consorzio di bonifica Bacchiglione</v>
      </c>
      <c r="I521" t="str">
        <f>"92223390284"</f>
        <v>92223390284</v>
      </c>
      <c r="J521" t="str">
        <f>"23-AFFIDAMENTO DIRETTO"</f>
        <v>23-AFFIDAMENTO DIRETTO</v>
      </c>
      <c r="K521" t="str">
        <f>"09/03/2021"</f>
        <v>09/03/2021</v>
      </c>
      <c r="L521" t="str">
        <f>"19/03/2021"</f>
        <v>19/03/2021</v>
      </c>
      <c r="M521" t="str">
        <f>""</f>
        <v/>
      </c>
      <c r="N521" t="str">
        <f>"Negrisolo Officina Meccanica s.a.s. V.le delle Industrie II° strada 13 35025 Cagnola di Cartura PD"</f>
        <v>Negrisolo Officina Meccanica s.a.s. V.le delle Industrie II° strada 13 35025 Cagnola di Cartura PD</v>
      </c>
      <c r="O521" t="str">
        <f>"Negrisolo Officina Meccanica s.a.s. V.le delle Industrie II° strada 13 35025 Cagnola di Cartura PD"</f>
        <v>Negrisolo Officina Meccanica s.a.s. V.le delle Industrie II° strada 13 35025 Cagnola di Cartura PD</v>
      </c>
      <c r="P521" t="s">
        <v>358</v>
      </c>
      <c r="Q521" t="str">
        <f>""</f>
        <v/>
      </c>
      <c r="R521" t="str">
        <f>""</f>
        <v/>
      </c>
      <c r="S521" t="str">
        <f>""</f>
        <v/>
      </c>
      <c r="T521" t="str">
        <f>"https://portaletrasparenza.consorziobacchiglione.it/dettagli/attodigara/6680/manutenzione-e-riparazione-mezzi-con-targa-ahh573-ff936pm.html"</f>
        <v>https://portaletrasparenza.consorziobacchiglione.it/dettagli/attodigara/6680/manutenzione-e-riparazione-mezzi-con-targa-ahh573-ff936pm.html</v>
      </c>
      <c r="U521" t="str">
        <f>"https://portaletrasparenza.consorziobacchiglione.it/download/attodigara/6680/63ac45670b4ce.PDF"</f>
        <v>https://portaletrasparenza.consorziobacchiglione.it/download/attodigara/6680/63ac45670b4ce.PDF</v>
      </c>
      <c r="V5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22" spans="1:22" x14ac:dyDescent="0.3">
      <c r="A522" t="str">
        <f>"Affidamento"</f>
        <v>Affidamento</v>
      </c>
      <c r="B522" t="str">
        <f>"Fornitura corde di acciao per ricambi spazzola Iron Brush su Energreen"</f>
        <v>Fornitura corde di acciao per ricambi spazzola Iron Brush su Energreen</v>
      </c>
      <c r="C522" t="str">
        <f>"Z2230F16E7"</f>
        <v>Z2230F16E7</v>
      </c>
      <c r="D522" t="str">
        <f>"10/03/2021"</f>
        <v>10/03/2021</v>
      </c>
      <c r="E522" t="str">
        <f>""</f>
        <v/>
      </c>
      <c r="F522" t="str">
        <f>""</f>
        <v/>
      </c>
      <c r="G522" t="str">
        <f>"2112.35"</f>
        <v>2112.35</v>
      </c>
      <c r="H522" t="str">
        <f>"Consorzio di bonifica Bacchiglione"</f>
        <v>Consorzio di bonifica Bacchiglione</v>
      </c>
      <c r="I522" t="str">
        <f>"92223390284"</f>
        <v>92223390284</v>
      </c>
      <c r="J522" t="str">
        <f>"23-AFFIDAMENTO DIRETTO"</f>
        <v>23-AFFIDAMENTO DIRETTO</v>
      </c>
      <c r="K522" t="str">
        <f>"09/03/2021"</f>
        <v>09/03/2021</v>
      </c>
      <c r="L522" t="str">
        <f>"31/03/2021"</f>
        <v>31/03/2021</v>
      </c>
      <c r="M522" t="str">
        <f>""</f>
        <v/>
      </c>
      <c r="N522" t="str">
        <f>"Energreen Via Pietre 73 36026 Cagnano di Pojana Maggiore VI"</f>
        <v>Energreen Via Pietre 73 36026 Cagnano di Pojana Maggiore VI</v>
      </c>
      <c r="O522" t="str">
        <f>"Energreen Via Pietre 73 36026 Cagnano di Pojana Maggiore VI"</f>
        <v>Energreen Via Pietre 73 36026 Cagnano di Pojana Maggiore VI</v>
      </c>
      <c r="P522" t="str">
        <f>"Z2230F16E7: [2112.35€ ]"</f>
        <v>Z2230F16E7: [2112.35€ ]</v>
      </c>
      <c r="Q522" t="str">
        <f>""</f>
        <v/>
      </c>
      <c r="R522" t="str">
        <f>""</f>
        <v/>
      </c>
      <c r="S522" t="str">
        <f>""</f>
        <v/>
      </c>
      <c r="T522" t="str">
        <f>"https://portaletrasparenza.consorziobacchiglione.it/dettagli/attodigara/6683/fornitura-corde-di-acciao-per-ricambi-spazzola-iron-brush-su-energreen.html"</f>
        <v>https://portaletrasparenza.consorziobacchiglione.it/dettagli/attodigara/6683/fornitura-corde-di-acciao-per-ricambi-spazzola-iron-brush-su-energreen.html</v>
      </c>
      <c r="U522" t="str">
        <f>"https://portaletrasparenza.consorziobacchiglione.it/download/attodigara/6683/63ac4567b4c43.PDF"</f>
        <v>https://portaletrasparenza.consorziobacchiglione.it/download/attodigara/6683/63ac4567b4c43.PDF</v>
      </c>
      <c r="V5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23" spans="1:22" x14ac:dyDescent="0.3">
      <c r="A523" t="str">
        <f>"Affidamento"</f>
        <v>Affidamento</v>
      </c>
      <c r="B523" t="str">
        <f>"Fornitura n.1 fustone da 1000 litri di Urea per mezzi presso Bacino Pratiarcati"</f>
        <v>Fornitura n.1 fustone da 1000 litri di Urea per mezzi presso Bacino Pratiarcati</v>
      </c>
      <c r="C523" t="str">
        <f>"Z7A30EFBA3"</f>
        <v>Z7A30EFBA3</v>
      </c>
      <c r="D523" t="str">
        <f>"10/03/2021"</f>
        <v>10/03/2021</v>
      </c>
      <c r="E523" t="str">
        <f>""</f>
        <v/>
      </c>
      <c r="F523" t="str">
        <f>""</f>
        <v/>
      </c>
      <c r="G523" t="str">
        <f>"450.00"</f>
        <v>450.00</v>
      </c>
      <c r="H523" t="str">
        <f>"Consorzio di bonifica Bacchiglione"</f>
        <v>Consorzio di bonifica Bacchiglione</v>
      </c>
      <c r="I523" t="str">
        <f>"92223390284"</f>
        <v>92223390284</v>
      </c>
      <c r="J523" t="str">
        <f>"23-AFFIDAMENTO DIRETTO"</f>
        <v>23-AFFIDAMENTO DIRETTO</v>
      </c>
      <c r="K523" t="str">
        <f>"09/03/2021"</f>
        <v>09/03/2021</v>
      </c>
      <c r="L523" t="str">
        <f>"31/03/2021"</f>
        <v>31/03/2021</v>
      </c>
      <c r="M523" t="str">
        <f>""</f>
        <v/>
      </c>
      <c r="N523" t="str">
        <f>"Consorzio Agrario del Nordest Via Francia 2 37135 Verona"</f>
        <v>Consorzio Agrario del Nordest Via Francia 2 37135 Verona</v>
      </c>
      <c r="O523" t="str">
        <f>"Consorzio Agrario del Nordest Via Francia 2 37135 Verona"</f>
        <v>Consorzio Agrario del Nordest Via Francia 2 37135 Verona</v>
      </c>
      <c r="P523" t="str">
        <f>"Z7A30EFBA3: [450.00€ ]"</f>
        <v>Z7A30EFBA3: [450.00€ ]</v>
      </c>
      <c r="Q523" t="str">
        <f>""</f>
        <v/>
      </c>
      <c r="R523" t="str">
        <f>""</f>
        <v/>
      </c>
      <c r="S523" t="str">
        <f>""</f>
        <v/>
      </c>
      <c r="T523" t="str">
        <f>"https://portaletrasparenza.consorziobacchiglione.it/dettagli/attodigara/6682/fornitura-n-1-fustone-da-1000-litri-di-urea-per-mezzi-presso-bacino-pratiarcati.html"</f>
        <v>https://portaletrasparenza.consorziobacchiglione.it/dettagli/attodigara/6682/fornitura-n-1-fustone-da-1000-litri-di-urea-per-mezzi-presso-bacino-pratiarcati.html</v>
      </c>
      <c r="U523" t="str">
        <f>"https://portaletrasparenza.consorziobacchiglione.it/download/attodigara/6682/63ac45677c1cc.PDF"</f>
        <v>https://portaletrasparenza.consorziobacchiglione.it/download/attodigara/6682/63ac45677c1cc.PDF</v>
      </c>
      <c r="V5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24" spans="1:22" x14ac:dyDescent="0.3">
      <c r="A524" t="str">
        <f>"Affidamento"</f>
        <v>Affidamento</v>
      </c>
      <c r="B524" t="str">
        <f>"Riparazione motosega Stihl MS251C presso Bacino Sesta Presa"</f>
        <v>Riparazione motosega Stihl MS251C presso Bacino Sesta Presa</v>
      </c>
      <c r="C524" t="str">
        <f>"ZB930EF9FD"</f>
        <v>ZB930EF9FD</v>
      </c>
      <c r="D524" t="str">
        <f>"10/03/2021"</f>
        <v>10/03/2021</v>
      </c>
      <c r="E524" t="str">
        <f>""</f>
        <v/>
      </c>
      <c r="F524" t="str">
        <f>""</f>
        <v/>
      </c>
      <c r="G524" t="str">
        <f>"32.79"</f>
        <v>32.79</v>
      </c>
      <c r="H524" t="str">
        <f>"Consorzio di bonifica Bacchiglione"</f>
        <v>Consorzio di bonifica Bacchiglione</v>
      </c>
      <c r="I524" t="str">
        <f>"92223390284"</f>
        <v>92223390284</v>
      </c>
      <c r="J524" t="str">
        <f>"23-AFFIDAMENTO DIRETTO"</f>
        <v>23-AFFIDAMENTO DIRETTO</v>
      </c>
      <c r="K524" t="str">
        <f>"09/03/2021"</f>
        <v>09/03/2021</v>
      </c>
      <c r="L524" t="str">
        <f>"11/03/2021"</f>
        <v>11/03/2021</v>
      </c>
      <c r="M524" t="str">
        <f>""</f>
        <v/>
      </c>
      <c r="N524" t="str">
        <f>"Mini Motor di Vettorato Gabriele Via Puccini 3 35020 Brugine PD"</f>
        <v>Mini Motor di Vettorato Gabriele Via Puccini 3 35020 Brugine PD</v>
      </c>
      <c r="O524" t="str">
        <f>"Mini Motor di Vettorato Gabriele Via Puccini 3 35020 Brugine PD"</f>
        <v>Mini Motor di Vettorato Gabriele Via Puccini 3 35020 Brugine PD</v>
      </c>
      <c r="P524" t="str">
        <f>"ZB930EF9FD: [32.79€ ]"</f>
        <v>ZB930EF9FD: [32.79€ ]</v>
      </c>
      <c r="Q524" t="str">
        <f>""</f>
        <v/>
      </c>
      <c r="R524" t="str">
        <f>""</f>
        <v/>
      </c>
      <c r="S524" t="str">
        <f>""</f>
        <v/>
      </c>
      <c r="T524" t="str">
        <f>"https://portaletrasparenza.consorziobacchiglione.it/dettagli/attodigara/6681/riparazione-motosega-stihl-ms251c-presso-bacino-sesta-presa.html"</f>
        <v>https://portaletrasparenza.consorziobacchiglione.it/dettagli/attodigara/6681/riparazione-motosega-stihl-ms251c-presso-bacino-sesta-presa.html</v>
      </c>
      <c r="U524" t="str">
        <f>"https://portaletrasparenza.consorziobacchiglione.it/download/attodigara/6681/63ac456743d13.PDF"</f>
        <v>https://portaletrasparenza.consorziobacchiglione.it/download/attodigara/6681/63ac456743d13.PDF</v>
      </c>
      <c r="V5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25" spans="1:22" x14ac:dyDescent="0.3">
      <c r="A525" t="str">
        <f>"Affidamento"</f>
        <v>Affidamento</v>
      </c>
      <c r="B525" t="str">
        <f>"Fornitura materiale edile per Idrovora di Lova."</f>
        <v>Fornitura materiale edile per Idrovora di Lova.</v>
      </c>
      <c r="C525" t="str">
        <f>"Z2519C8E4D"</f>
        <v>Z2519C8E4D</v>
      </c>
      <c r="D525" t="str">
        <f>"04/11/2021"</f>
        <v>04/11/2021</v>
      </c>
      <c r="E525" t="str">
        <f>""</f>
        <v/>
      </c>
      <c r="F525" t="str">
        <f>""</f>
        <v/>
      </c>
      <c r="G525" t="str">
        <f>"138.92"</f>
        <v>138.92</v>
      </c>
      <c r="H525" t="str">
        <f>"Consorzio di bonifica Bacchiglione"</f>
        <v>Consorzio di bonifica Bacchiglione</v>
      </c>
      <c r="I525" t="str">
        <f>"92223390284"</f>
        <v>92223390284</v>
      </c>
      <c r="J525" t="str">
        <f>"23-AFFIDAMENTO DIRETTO"</f>
        <v>23-AFFIDAMENTO DIRETTO</v>
      </c>
      <c r="K525" t="str">
        <f>"09/05/2021"</f>
        <v>09/05/2021</v>
      </c>
      <c r="L525" t="str">
        <f>"30/06/2021"</f>
        <v>30/06/2021</v>
      </c>
      <c r="M525" t="str">
        <f>""</f>
        <v/>
      </c>
      <c r="N525" t="str">
        <f>"Idronord s.r.l. Via delle Industrie 3C 30036 Santa Maria Di Sala VE"</f>
        <v>Idronord s.r.l. Via delle Industrie 3C 30036 Santa Maria Di Sala VE</v>
      </c>
      <c r="O525" t="str">
        <f>"Idronord s.r.l. Via delle Industrie 3C 30036 Santa Maria Di Sala VE"</f>
        <v>Idronord s.r.l. Via delle Industrie 3C 30036 Santa Maria Di Sala VE</v>
      </c>
      <c r="P525" t="str">
        <f>"Z2519C8E4D: [138.92€ ]"</f>
        <v>Z2519C8E4D: [138.92€ ]</v>
      </c>
      <c r="Q525" t="str">
        <f>""</f>
        <v/>
      </c>
      <c r="R525" t="str">
        <f>""</f>
        <v/>
      </c>
      <c r="S525" t="str">
        <f>""</f>
        <v/>
      </c>
      <c r="T525" t="str">
        <f>"https://portaletrasparenza.consorziobacchiglione.it/dettagli/attodigara/407/fornitura-materiale-edile-per-idrovora-di-lova.html"</f>
        <v>https://portaletrasparenza.consorziobacchiglione.it/dettagli/attodigara/407/fornitura-materiale-edile-per-idrovora-di-lova.html</v>
      </c>
      <c r="U525" t="str">
        <f>""</f>
        <v/>
      </c>
      <c r="V5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26" spans="1:22" x14ac:dyDescent="0.3">
      <c r="A526" t="str">
        <f>"Affidamento"</f>
        <v>Affidamento</v>
      </c>
      <c r="B526" t="str">
        <f>"Fornitura n 2 codensatore trif.Modulari per pompa 7/8 Idrovora di Cambroso."</f>
        <v>Fornitura n 2 codensatore trif.Modulari per pompa 7/8 Idrovora di Cambroso.</v>
      </c>
      <c r="C526" t="str">
        <f>"ZB019C8D87"</f>
        <v>ZB019C8D87</v>
      </c>
      <c r="D526" t="str">
        <f>"04/11/2021"</f>
        <v>04/11/2021</v>
      </c>
      <c r="E526" t="str">
        <f>""</f>
        <v/>
      </c>
      <c r="F526" t="str">
        <f>""</f>
        <v/>
      </c>
      <c r="G526" t="str">
        <f>"690.00"</f>
        <v>690.00</v>
      </c>
      <c r="H526" t="str">
        <f>"Consorzio di bonifica Bacchiglione"</f>
        <v>Consorzio di bonifica Bacchiglione</v>
      </c>
      <c r="I526" t="str">
        <f>"92223390284"</f>
        <v>92223390284</v>
      </c>
      <c r="J526" t="str">
        <f>"23-AFFIDAMENTO DIRETTO"</f>
        <v>23-AFFIDAMENTO DIRETTO</v>
      </c>
      <c r="K526" t="str">
        <f>"09/05/2021"</f>
        <v>09/05/2021</v>
      </c>
      <c r="L526" t="str">
        <f>"18/07/2021"</f>
        <v>18/07/2021</v>
      </c>
      <c r="M526" t="str">
        <f>""</f>
        <v/>
      </c>
      <c r="N526" t="str">
        <f>"Marchiol S.P.A. Viale della Repubblica 41 31020 sede legale Villorba TV"</f>
        <v>Marchiol S.P.A. Viale della Repubblica 41 31020 sede legale Villorba TV</v>
      </c>
      <c r="O526" t="str">
        <f>"Marchiol S.P.A. Viale della Repubblica 41 31020 sede legale Villorba TV"</f>
        <v>Marchiol S.P.A. Viale della Repubblica 41 31020 sede legale Villorba TV</v>
      </c>
      <c r="P526" t="str">
        <f>"ZB019C8D87: [690.00€ ]"</f>
        <v>ZB019C8D87: [690.00€ ]</v>
      </c>
      <c r="Q526" t="str">
        <f>""</f>
        <v/>
      </c>
      <c r="R526" t="str">
        <f>""</f>
        <v/>
      </c>
      <c r="S526" t="str">
        <f>""</f>
        <v/>
      </c>
      <c r="T526" t="str">
        <f>"https://portaletrasparenza.consorziobacchiglione.it/dettagli/attodigara/406/fornitura-n-2-codensatore-trif-modulari-per-pompa-7-8-idrovora-di-cambroso.html"</f>
        <v>https://portaletrasparenza.consorziobacchiglione.it/dettagli/attodigara/406/fornitura-n-2-codensatore-trif-modulari-per-pompa-7-8-idrovora-di-cambroso.html</v>
      </c>
      <c r="U526" t="str">
        <f>""</f>
        <v/>
      </c>
      <c r="V5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27" spans="1:22" x14ac:dyDescent="0.3">
      <c r="A527" t="str">
        <f>"Affidamento"</f>
        <v>Affidamento</v>
      </c>
      <c r="B527" t="str">
        <f>"Manutenzione e riparazione mezzi con targa: AJ205BM"</f>
        <v>Manutenzione e riparazione mezzi con targa: AJ205BM</v>
      </c>
      <c r="C527" t="str">
        <f>"Z0A19C8BED"</f>
        <v>Z0A19C8BED</v>
      </c>
      <c r="D527" t="str">
        <f>"04/11/2021"</f>
        <v>04/11/2021</v>
      </c>
      <c r="E527" t="str">
        <f>""</f>
        <v/>
      </c>
      <c r="F527" t="str">
        <f>""</f>
        <v/>
      </c>
      <c r="G527" t="str">
        <f>"64.50"</f>
        <v>64.50</v>
      </c>
      <c r="H527" t="str">
        <f>"Consorzio di bonifica Bacchiglione"</f>
        <v>Consorzio di bonifica Bacchiglione</v>
      </c>
      <c r="I527" t="str">
        <f>"92223390284"</f>
        <v>92223390284</v>
      </c>
      <c r="J527" t="str">
        <f>"23-AFFIDAMENTO DIRETTO"</f>
        <v>23-AFFIDAMENTO DIRETTO</v>
      </c>
      <c r="K527" t="str">
        <f>"09/05/2021"</f>
        <v>09/05/2021</v>
      </c>
      <c r="L527" t="str">
        <f>"01/08/2021"</f>
        <v>01/08/2021</v>
      </c>
      <c r="M527" t="str">
        <f>""</f>
        <v/>
      </c>
      <c r="N527" t="str">
        <f>"Negrisolo Officina Meccanica s.a.s. V.le delle Industrie II° strada 13 35025 Cagnola di Cartura PD"</f>
        <v>Negrisolo Officina Meccanica s.a.s. V.le delle Industrie II° strada 13 35025 Cagnola di Cartura PD</v>
      </c>
      <c r="O527" t="str">
        <f>"Negrisolo Officina Meccanica s.a.s. V.le delle Industrie II° strada 13 35025 Cagnola di Cartura PD"</f>
        <v>Negrisolo Officina Meccanica s.a.s. V.le delle Industrie II° strada 13 35025 Cagnola di Cartura PD</v>
      </c>
      <c r="P527" t="str">
        <f>"Z0A19C8BED: [64.50€ ]"</f>
        <v>Z0A19C8BED: [64.50€ ]</v>
      </c>
      <c r="Q527" t="str">
        <f>""</f>
        <v/>
      </c>
      <c r="R527" t="str">
        <f>""</f>
        <v/>
      </c>
      <c r="S527" t="str">
        <f>""</f>
        <v/>
      </c>
      <c r="T527" t="str">
        <f>"https://portaletrasparenza.consorziobacchiglione.it/dettagli/attodigara/405/manutenzione-e-riparazione-mezzi-con-targa-aj205bm.html"</f>
        <v>https://portaletrasparenza.consorziobacchiglione.it/dettagli/attodigara/405/manutenzione-e-riparazione-mezzi-con-targa-aj205bm.html</v>
      </c>
      <c r="U527" t="str">
        <f>""</f>
        <v/>
      </c>
      <c r="V52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28" spans="1:22" x14ac:dyDescent="0.3">
      <c r="A528" t="str">
        <f>"Affidamento"</f>
        <v>Affidamento</v>
      </c>
      <c r="B528" t="str">
        <f>"Fresatura ceppaie su scolo Condotto."</f>
        <v>Fresatura ceppaie su scolo Condotto.</v>
      </c>
      <c r="C528" t="str">
        <f>"Z3A19C892D"</f>
        <v>Z3A19C892D</v>
      </c>
      <c r="D528" t="str">
        <f>"04/11/2021"</f>
        <v>04/11/2021</v>
      </c>
      <c r="E528" t="str">
        <f>""</f>
        <v/>
      </c>
      <c r="F528" t="str">
        <f>""</f>
        <v/>
      </c>
      <c r="G528" t="str">
        <f>"2500.00"</f>
        <v>2500.00</v>
      </c>
      <c r="H528" t="str">
        <f>"Consorzio di bonifica Bacchiglione"</f>
        <v>Consorzio di bonifica Bacchiglione</v>
      </c>
      <c r="I528" t="str">
        <f>"92223390284"</f>
        <v>92223390284</v>
      </c>
      <c r="J528" t="str">
        <f>"23-AFFIDAMENTO DIRETTO"</f>
        <v>23-AFFIDAMENTO DIRETTO</v>
      </c>
      <c r="K528" t="str">
        <f>"09/05/2021"</f>
        <v>09/05/2021</v>
      </c>
      <c r="L528" t="str">
        <f>"01/08/2021"</f>
        <v>01/08/2021</v>
      </c>
      <c r="M528" t="str">
        <f>""</f>
        <v/>
      </c>
      <c r="N528" t="str">
        <f>"Viale Nicola Via S.Marco 29 30010 Campagna Lupia VE"</f>
        <v>Viale Nicola Via S.Marco 29 30010 Campagna Lupia VE</v>
      </c>
      <c r="O528" t="str">
        <f>"Viale Nicola Via S.Marco 29 30010 Campagna Lupia VE"</f>
        <v>Viale Nicola Via S.Marco 29 30010 Campagna Lupia VE</v>
      </c>
      <c r="P528" t="str">
        <f>"Z3A19C892D: [2500.00€ ]"</f>
        <v>Z3A19C892D: [2500.00€ ]</v>
      </c>
      <c r="Q528" t="str">
        <f>""</f>
        <v/>
      </c>
      <c r="R528" t="str">
        <f>""</f>
        <v/>
      </c>
      <c r="S528" t="str">
        <f>""</f>
        <v/>
      </c>
      <c r="T528" t="str">
        <f>"https://portaletrasparenza.consorziobacchiglione.it/dettagli/attodigara/404/fresatura-ceppaie-su-scolo-condotto.html"</f>
        <v>https://portaletrasparenza.consorziobacchiglione.it/dettagli/attodigara/404/fresatura-ceppaie-su-scolo-condotto.html</v>
      </c>
      <c r="U528" t="str">
        <f>""</f>
        <v/>
      </c>
      <c r="V5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29" spans="1:22" x14ac:dyDescent="0.3">
      <c r="A529" t="str">
        <f>"Affidamento"</f>
        <v>Affidamento</v>
      </c>
      <c r="B529" t="str">
        <f>"Riparazione stampante HP Laserjet CP2025DN sede consorziale."</f>
        <v>Riparazione stampante HP Laserjet CP2025DN sede consorziale.</v>
      </c>
      <c r="C529" t="str">
        <f>"Z0319C8814"</f>
        <v>Z0319C8814</v>
      </c>
      <c r="D529" t="str">
        <f>"04/11/2021"</f>
        <v>04/11/2021</v>
      </c>
      <c r="E529" t="str">
        <f>""</f>
        <v/>
      </c>
      <c r="F529" t="str">
        <f>""</f>
        <v/>
      </c>
      <c r="G529" t="str">
        <f>"245.00"</f>
        <v>245.00</v>
      </c>
      <c r="H529" t="str">
        <f>"Consorzio di bonifica Bacchiglione"</f>
        <v>Consorzio di bonifica Bacchiglione</v>
      </c>
      <c r="I529" t="str">
        <f>"92223390284"</f>
        <v>92223390284</v>
      </c>
      <c r="J529" t="str">
        <f>"23-AFFIDAMENTO DIRETTO"</f>
        <v>23-AFFIDAMENTO DIRETTO</v>
      </c>
      <c r="K529" t="str">
        <f>"09/05/2021"</f>
        <v>09/05/2021</v>
      </c>
      <c r="L529" t="str">
        <f>"09/06/2021"</f>
        <v>09/06/2021</v>
      </c>
      <c r="M529" t="str">
        <f>""</f>
        <v/>
      </c>
      <c r="N529" t="str">
        <f>"TPH Elettronica s.a.s. Via N. Pizzolo 51A 35132 Padova"</f>
        <v>TPH Elettronica s.a.s. Via N. Pizzolo 51A 35132 Padova</v>
      </c>
      <c r="O529" t="str">
        <f>"TPH Elettronica s.a.s. Via N. Pizzolo 51A 35132 Padova"</f>
        <v>TPH Elettronica s.a.s. Via N. Pizzolo 51A 35132 Padova</v>
      </c>
      <c r="P529" t="str">
        <f>"Z0319C8814: [245.00€ ]"</f>
        <v>Z0319C8814: [245.00€ ]</v>
      </c>
      <c r="Q529" t="str">
        <f>""</f>
        <v/>
      </c>
      <c r="R529" t="str">
        <f>""</f>
        <v/>
      </c>
      <c r="S529" t="str">
        <f>""</f>
        <v/>
      </c>
      <c r="T529" t="str">
        <f>"https://portaletrasparenza.consorziobacchiglione.it/dettagli/attodigara/403/riparazione-stampante-hp-laserjet-cp2025dn-sede-consorziale.html"</f>
        <v>https://portaletrasparenza.consorziobacchiglione.it/dettagli/attodigara/403/riparazione-stampante-hp-laserjet-cp2025dn-sede-consorziale.html</v>
      </c>
      <c r="U529" t="str">
        <f>""</f>
        <v/>
      </c>
      <c r="V5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30" spans="1:22" x14ac:dyDescent="0.3">
      <c r="A530" t="str">
        <f>"Affidamento"</f>
        <v>Affidamento</v>
      </c>
      <c r="B530" t="str">
        <f>"Noleggio miniescavatore per lavori fossa Bastioni e scolo Calcina."</f>
        <v>Noleggio miniescavatore per lavori fossa Bastioni e scolo Calcina.</v>
      </c>
      <c r="C530" t="str">
        <f>"Z2519C8770"</f>
        <v>Z2519C8770</v>
      </c>
      <c r="D530" t="str">
        <f>"04/11/2021"</f>
        <v>04/11/2021</v>
      </c>
      <c r="E530" t="str">
        <f>""</f>
        <v/>
      </c>
      <c r="F530" t="str">
        <f>""</f>
        <v/>
      </c>
      <c r="G530" t="str">
        <f>"2880.00"</f>
        <v>2880.00</v>
      </c>
      <c r="H530" t="str">
        <f>"Consorzio di bonifica Bacchiglione"</f>
        <v>Consorzio di bonifica Bacchiglione</v>
      </c>
      <c r="I530" t="str">
        <f>"92223390284"</f>
        <v>92223390284</v>
      </c>
      <c r="J530" t="str">
        <f>"23-AFFIDAMENTO DIRETTO"</f>
        <v>23-AFFIDAMENTO DIRETTO</v>
      </c>
      <c r="K530" t="str">
        <f>"09/05/2021"</f>
        <v>09/05/2021</v>
      </c>
      <c r="L530" t="str">
        <f>"30/06/2021"</f>
        <v>30/06/2021</v>
      </c>
      <c r="M530" t="str">
        <f>""</f>
        <v/>
      </c>
      <c r="N530" t="str">
        <f>"Sorme Noleggi s.a.s. Via Monache 21 35030 Selvazzano Dentro PD"</f>
        <v>Sorme Noleggi s.a.s. Via Monache 21 35030 Selvazzano Dentro PD</v>
      </c>
      <c r="O530" t="str">
        <f>"Sorme Noleggi s.a.s. Via Monache 21 35030 Selvazzano Dentro PD"</f>
        <v>Sorme Noleggi s.a.s. Via Monache 21 35030 Selvazzano Dentro PD</v>
      </c>
      <c r="P530" t="str">
        <f>"Z2519C8770: [2880.00€ ]"</f>
        <v>Z2519C8770: [2880.00€ ]</v>
      </c>
      <c r="Q530" t="str">
        <f>""</f>
        <v/>
      </c>
      <c r="R530" t="str">
        <f>""</f>
        <v/>
      </c>
      <c r="S530" t="str">
        <f>""</f>
        <v/>
      </c>
      <c r="T530" t="str">
        <f>"https://portaletrasparenza.consorziobacchiglione.it/dettagli/attodigara/402/noleggio-miniescavatore-per-lavori-fossa-bastioni-e-scolo-calcina.html"</f>
        <v>https://portaletrasparenza.consorziobacchiglione.it/dettagli/attodigara/402/noleggio-miniescavatore-per-lavori-fossa-bastioni-e-scolo-calcina.html</v>
      </c>
      <c r="U530" t="str">
        <f>""</f>
        <v/>
      </c>
      <c r="V5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31" spans="1:22" x14ac:dyDescent="0.3">
      <c r="A531" t="str">
        <f>"Affidamento"</f>
        <v>Affidamento</v>
      </c>
      <c r="B531" t="str">
        <f>"Noleggio miniescavatore, camion con cesta, motosega tagliasfalto,martello pneumatico."</f>
        <v>Noleggio miniescavatore, camion con cesta, motosega tagliasfalto,martello pneumatico.</v>
      </c>
      <c r="C531" t="str">
        <f>"Z9E19C7EDF"</f>
        <v>Z9E19C7EDF</v>
      </c>
      <c r="D531" t="str">
        <f>"04/11/2021"</f>
        <v>04/11/2021</v>
      </c>
      <c r="E531" t="str">
        <f>""</f>
        <v/>
      </c>
      <c r="F531" t="str">
        <f>""</f>
        <v/>
      </c>
      <c r="G531" t="str">
        <f>"1840.00"</f>
        <v>1840.00</v>
      </c>
      <c r="H531" t="str">
        <f>"Consorzio di bonifica Bacchiglione"</f>
        <v>Consorzio di bonifica Bacchiglione</v>
      </c>
      <c r="I531" t="str">
        <f>"92223390284"</f>
        <v>92223390284</v>
      </c>
      <c r="J531" t="str">
        <f>"23-AFFIDAMENTO DIRETTO"</f>
        <v>23-AFFIDAMENTO DIRETTO</v>
      </c>
      <c r="K531" t="str">
        <f>"09/05/2021"</f>
        <v>09/05/2021</v>
      </c>
      <c r="L531" t="str">
        <f>"09/06/2021"</f>
        <v>09/06/2021</v>
      </c>
      <c r="M531" t="str">
        <f>""</f>
        <v/>
      </c>
      <c r="N531" t="str">
        <f>"Nolo Piovese s.r.l. Via Padana 34 35020 S. Angelo di Piove PD"</f>
        <v>Nolo Piovese s.r.l. Via Padana 34 35020 S. Angelo di Piove PD</v>
      </c>
      <c r="O531" t="str">
        <f>"Nolo Piovese s.r.l. Via Padana 34 35020 S. Angelo di Piove PD"</f>
        <v>Nolo Piovese s.r.l. Via Padana 34 35020 S. Angelo di Piove PD</v>
      </c>
      <c r="P531" t="str">
        <f>"Z9E19C7EDF: [1840.00€ ]"</f>
        <v>Z9E19C7EDF: [1840.00€ ]</v>
      </c>
      <c r="Q531" t="str">
        <f>""</f>
        <v/>
      </c>
      <c r="R531" t="str">
        <f>""</f>
        <v/>
      </c>
      <c r="S531" t="str">
        <f>""</f>
        <v/>
      </c>
      <c r="T531" t="str">
        <f>"https://portaletrasparenza.consorziobacchiglione.it/dettagli/attodigara/401/noleggio-miniescavatore-camion-con-cesta-motosega-tagliasfalto-martello-pneumatico.html"</f>
        <v>https://portaletrasparenza.consorziobacchiglione.it/dettagli/attodigara/401/noleggio-miniescavatore-camion-con-cesta-motosega-tagliasfalto-martello-pneumatico.html</v>
      </c>
      <c r="U531" t="str">
        <f>""</f>
        <v/>
      </c>
      <c r="V5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32" spans="1:22" x14ac:dyDescent="0.3">
      <c r="A532" t="str">
        <f>"Affidamento"</f>
        <v>Affidamento</v>
      </c>
      <c r="B532" t="str">
        <f>"Lavori di costruzione dello scolmatore Limenella - Fossetta - Lavori di completamento - INTERVENTO N. 11 - LOTTO A. Lavori di fornitura e posa in opera del nuovo sistema di telecontrollo presso la 2^ stazione di sollevamento di Via Querini - P"</f>
        <v>Lavori di costruzione dello scolmatore Limenella - Fossetta - Lavori di completamento - INTERVENTO N. 11 - LOTTO A. Lavori di fornitura e posa in opera del nuovo sistema di telecontrollo presso la 2^ stazione di sollevamento di Via Querini - P</v>
      </c>
      <c r="C532" t="str">
        <f>"Z6F1949648"</f>
        <v>Z6F1949648</v>
      </c>
      <c r="D532" t="str">
        <f>"04/11/2021"</f>
        <v>04/11/2021</v>
      </c>
      <c r="E532" t="str">
        <f>""</f>
        <v/>
      </c>
      <c r="F532" t="str">
        <f>""</f>
        <v/>
      </c>
      <c r="G532" t="str">
        <f>"23190.24"</f>
        <v>23190.24</v>
      </c>
      <c r="H532" t="str">
        <f>"Consorzio di bonifica Bacchiglione"</f>
        <v>Consorzio di bonifica Bacchiglione</v>
      </c>
      <c r="I532" t="str">
        <f>"92223390284"</f>
        <v>92223390284</v>
      </c>
      <c r="J532" t="str">
        <f>"08-AFFIDAMENTO IN ECONOMIA - COTTIMO FIDUCIARIO"</f>
        <v>08-AFFIDAMENTO IN ECONOMIA - COTTIMO FIDUCIARIO</v>
      </c>
      <c r="K532" t="str">
        <f>"09/05/2021"</f>
        <v>09/05/2021</v>
      </c>
      <c r="L532" t="str">
        <f>"26/11/2021"</f>
        <v>26/11/2021</v>
      </c>
      <c r="M532" t="str">
        <f>""</f>
        <v/>
      </c>
      <c r="N532" t="str">
        <f>"Picello s.r.l. | A.S.P. Tecnologie srl | GPG S.r.l. | MT Elettric s.n.c. | Elettromeccanica Tamai A. e Minetto G. E C. | FD Automazioni di Donola Flavio E Donola Marco snc"</f>
        <v>Picello s.r.l. | A.S.P. Tecnologie srl | GPG S.r.l. | MT Elettric s.n.c. | Elettromeccanica Tamai A. e Minetto G. E C. | FD Automazioni di Donola Flavio E Donola Marco snc</v>
      </c>
      <c r="O532" t="str">
        <f>"GPG S.r.l."</f>
        <v>GPG S.r.l.</v>
      </c>
      <c r="P532" t="str">
        <f>"Z6F1949648: [23190.24€ ]"</f>
        <v>Z6F1949648: [23190.24€ ]</v>
      </c>
      <c r="Q532" t="str">
        <f>""</f>
        <v/>
      </c>
      <c r="R532" t="str">
        <f>""</f>
        <v/>
      </c>
      <c r="S532" t="str">
        <f>""</f>
        <v/>
      </c>
      <c r="T532" t="s">
        <v>68</v>
      </c>
      <c r="U532" t="str">
        <f>""</f>
        <v/>
      </c>
      <c r="V5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33" spans="1:22" x14ac:dyDescent="0.3">
      <c r="A533" t="str">
        <f>"Affidamento"</f>
        <v>Affidamento</v>
      </c>
      <c r="B533" t="str">
        <f>"Incarico professionale di service tecnico e di coordinatore della sicurezza in fase di progettazione (CSP) ed esecuzione (CSE)."</f>
        <v>Incarico professionale di service tecnico e di coordinatore della sicurezza in fase di progettazione (CSP) ed esecuzione (CSE).</v>
      </c>
      <c r="C533" t="str">
        <f>"ZF91A3CD9F"</f>
        <v>ZF91A3CD9F</v>
      </c>
      <c r="D533" t="str">
        <f>"04/11/2021"</f>
        <v>04/11/2021</v>
      </c>
      <c r="E533" t="str">
        <f>""</f>
        <v/>
      </c>
      <c r="F533" t="str">
        <f>""</f>
        <v/>
      </c>
      <c r="G533" t="str">
        <f>"5720.00"</f>
        <v>5720.00</v>
      </c>
      <c r="H533" t="str">
        <f>"Consorzio di bonifica Bacchiglione"</f>
        <v>Consorzio di bonifica Bacchiglione</v>
      </c>
      <c r="I533" t="str">
        <f>"92223390284"</f>
        <v>92223390284</v>
      </c>
      <c r="J533" t="str">
        <f>"23-AFFIDAMENTO DIRETTO"</f>
        <v>23-AFFIDAMENTO DIRETTO</v>
      </c>
      <c r="K533" t="str">
        <f>"09/06/2021"</f>
        <v>09/06/2021</v>
      </c>
      <c r="L533" t="str">
        <f>"22/03/2021"</f>
        <v>22/03/2021</v>
      </c>
      <c r="M533" t="str">
        <f>""</f>
        <v/>
      </c>
      <c r="N533" t="str">
        <f>"MATE Soc.Coop.va"</f>
        <v>MATE Soc.Coop.va</v>
      </c>
      <c r="O533" t="str">
        <f>"MATE Soc.Coop.va"</f>
        <v>MATE Soc.Coop.va</v>
      </c>
      <c r="P533" t="str">
        <f>"ZF91A3CD9F: [5720.00€ ]"</f>
        <v>ZF91A3CD9F: [5720.00€ ]</v>
      </c>
      <c r="Q533" t="str">
        <f>""</f>
        <v/>
      </c>
      <c r="R533" t="str">
        <f>""</f>
        <v/>
      </c>
      <c r="S533" t="str">
        <f>""</f>
        <v/>
      </c>
      <c r="T533" t="str">
        <f>"https://portaletrasparenza.consorziobacchiglione.it/dettagli/attodigara/515/incarico-professionale-di-service-tecnico-e-di-coordinatore-della-sicurezza-in-fase-di-progettazione-csp-ed-esecuzione-cse.html"</f>
        <v>https://portaletrasparenza.consorziobacchiglione.it/dettagli/attodigara/515/incarico-professionale-di-service-tecnico-e-di-coordinatore-della-sicurezza-in-fase-di-progettazione-csp-ed-esecuzione-cse.html</v>
      </c>
      <c r="U533" t="str">
        <f>""</f>
        <v/>
      </c>
      <c r="V5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34" spans="1:22" x14ac:dyDescent="0.3">
      <c r="A534" t="str">
        <f>"Affidamento"</f>
        <v>Affidamento</v>
      </c>
      <c r="B534" t="str">
        <f>"Rettifica alberi salienti e costruzione ingranaggio sede albero chiavettato, rettifica perni e rullo paratoia n 2 presso Sostegno Montalbano."</f>
        <v>Rettifica alberi salienti e costruzione ingranaggio sede albero chiavettato, rettifica perni e rullo paratoia n 2 presso Sostegno Montalbano.</v>
      </c>
      <c r="C534" t="str">
        <f>"Z001A3CA3D"</f>
        <v>Z001A3CA3D</v>
      </c>
      <c r="D534" t="str">
        <f>"04/11/2021"</f>
        <v>04/11/2021</v>
      </c>
      <c r="E534" t="str">
        <f>""</f>
        <v/>
      </c>
      <c r="F534" t="str">
        <f>""</f>
        <v/>
      </c>
      <c r="G534" t="str">
        <f>"8856.00"</f>
        <v>8856.00</v>
      </c>
      <c r="H534" t="str">
        <f>"Consorzio di bonifica Bacchiglione"</f>
        <v>Consorzio di bonifica Bacchiglione</v>
      </c>
      <c r="I534" t="str">
        <f>"92223390284"</f>
        <v>92223390284</v>
      </c>
      <c r="J534" t="str">
        <f>"23-AFFIDAMENTO DIRETTO"</f>
        <v>23-AFFIDAMENTO DIRETTO</v>
      </c>
      <c r="K534" t="str">
        <f>"09/06/2021"</f>
        <v>09/06/2021</v>
      </c>
      <c r="L534" t="str">
        <f>"29/09/2021"</f>
        <v>29/09/2021</v>
      </c>
      <c r="M534" t="str">
        <f>""</f>
        <v/>
      </c>
      <c r="N534" t="str">
        <f>"Officina Biesse S.n.c. Via Matteotti 24 35020 Arzergrande PD"</f>
        <v>Officina Biesse S.n.c. Via Matteotti 24 35020 Arzergrande PD</v>
      </c>
      <c r="O534" t="str">
        <f>"Officina Biesse S.n.c. Via Matteotti 24 35020 Arzergrande PD"</f>
        <v>Officina Biesse S.n.c. Via Matteotti 24 35020 Arzergrande PD</v>
      </c>
      <c r="P534" t="str">
        <f>"Z001A3CA3D: [8856.00€ ]"</f>
        <v>Z001A3CA3D: [8856.00€ ]</v>
      </c>
      <c r="Q534" t="str">
        <f>""</f>
        <v/>
      </c>
      <c r="R534" t="str">
        <f>""</f>
        <v/>
      </c>
      <c r="S534" t="str">
        <f>""</f>
        <v/>
      </c>
      <c r="T534" t="str">
        <f>"https://portaletrasparenza.consorziobacchiglione.it/dettagli/attodigara/514/rettifica-alberi-salienti-e-costruzione-ingranaggio-sede-albero-chiavettato-rettifica-perni-e-rullo-paratoia-n-2-presso-sostegno-montalbano.html"</f>
        <v>https://portaletrasparenza.consorziobacchiglione.it/dettagli/attodigara/514/rettifica-alberi-salienti-e-costruzione-ingranaggio-sede-albero-chiavettato-rettifica-perni-e-rullo-paratoia-n-2-presso-sostegno-montalbano.html</v>
      </c>
      <c r="U534" t="str">
        <f>""</f>
        <v/>
      </c>
      <c r="V5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35" spans="1:22" x14ac:dyDescent="0.3">
      <c r="A535" t="str">
        <f>"Affidamento"</f>
        <v>Affidamento</v>
      </c>
      <c r="B535" t="str">
        <f>"Riparazione e manutenzione mezzo con targa: PDAF480"</f>
        <v>Riparazione e manutenzione mezzo con targa: PDAF480</v>
      </c>
      <c r="C535" t="str">
        <f>"Z6D1A3C83E"</f>
        <v>Z6D1A3C83E</v>
      </c>
      <c r="D535" t="str">
        <f>"04/11/2021"</f>
        <v>04/11/2021</v>
      </c>
      <c r="E535" t="str">
        <f>""</f>
        <v/>
      </c>
      <c r="F535" t="str">
        <f>""</f>
        <v/>
      </c>
      <c r="G535" t="str">
        <f>"476.15"</f>
        <v>476.15</v>
      </c>
      <c r="H535" t="str">
        <f>"Consorzio di bonifica Bacchiglione"</f>
        <v>Consorzio di bonifica Bacchiglione</v>
      </c>
      <c r="I535" t="str">
        <f>"92223390284"</f>
        <v>92223390284</v>
      </c>
      <c r="J535" t="str">
        <f>"23-AFFIDAMENTO DIRETTO"</f>
        <v>23-AFFIDAMENTO DIRETTO</v>
      </c>
      <c r="K535" t="str">
        <f>"09/06/2021"</f>
        <v>09/06/2021</v>
      </c>
      <c r="L535" t="str">
        <f>"29/07/2021"</f>
        <v>29/07/2021</v>
      </c>
      <c r="M535" t="str">
        <f>""</f>
        <v/>
      </c>
      <c r="N535" t="str">
        <f>"Adriatica Commerciale Macchine s.r.l. Via dell'Artigianato 5 35020 Due Carrare PD"</f>
        <v>Adriatica Commerciale Macchine s.r.l. Via dell'Artigianato 5 35020 Due Carrare PD</v>
      </c>
      <c r="O535" t="str">
        <f>"Adriatica Commerciale Macchine s.r.l. Via dell'Artigianato 5 35020 Due Carrare PD"</f>
        <v>Adriatica Commerciale Macchine s.r.l. Via dell'Artigianato 5 35020 Due Carrare PD</v>
      </c>
      <c r="P535" t="str">
        <f>"Z6D1A3C83E: [476.15€ ]"</f>
        <v>Z6D1A3C83E: [476.15€ ]</v>
      </c>
      <c r="Q535" t="str">
        <f>""</f>
        <v/>
      </c>
      <c r="R535" t="str">
        <f>""</f>
        <v/>
      </c>
      <c r="S535" t="str">
        <f>""</f>
        <v/>
      </c>
      <c r="T535" t="str">
        <f>"https://portaletrasparenza.consorziobacchiglione.it/dettagli/attodigara/513/riparazione-e-manutenzione-mezzo-con-targa-pdaf480.html"</f>
        <v>https://portaletrasparenza.consorziobacchiglione.it/dettagli/attodigara/513/riparazione-e-manutenzione-mezzo-con-targa-pdaf480.html</v>
      </c>
      <c r="U535" t="str">
        <f>""</f>
        <v/>
      </c>
      <c r="V5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36" spans="1:22" x14ac:dyDescent="0.3">
      <c r="A536" t="str">
        <f>"Affidamento"</f>
        <v>Affidamento</v>
      </c>
      <c r="B536" t="str">
        <f>"Manutenzione , riparazione e lavaggio mezzi con targa: PDAH661, AGK711, DA564ZE, PDAF497, PDAF480, PDAF496, Motopompa N4, N6."</f>
        <v>Manutenzione , riparazione e lavaggio mezzi con targa: PDAH661, AGK711, DA564ZE, PDAF497, PDAF480, PDAF496, Motopompa N4, N6.</v>
      </c>
      <c r="C536" t="str">
        <f>"Z071A3BD6B"</f>
        <v>Z071A3BD6B</v>
      </c>
      <c r="D536" t="str">
        <f>"04/11/2021"</f>
        <v>04/11/2021</v>
      </c>
      <c r="E536" t="str">
        <f>""</f>
        <v/>
      </c>
      <c r="F536" t="str">
        <f>""</f>
        <v/>
      </c>
      <c r="G536" t="str">
        <f>"4455.77"</f>
        <v>4455.77</v>
      </c>
      <c r="H536" t="str">
        <f>"Consorzio di bonifica Bacchiglione"</f>
        <v>Consorzio di bonifica Bacchiglione</v>
      </c>
      <c r="I536" t="str">
        <f>"92223390284"</f>
        <v>92223390284</v>
      </c>
      <c r="J536" t="str">
        <f>"23-AFFIDAMENTO DIRETTO"</f>
        <v>23-AFFIDAMENTO DIRETTO</v>
      </c>
      <c r="K536" t="str">
        <f>"09/06/2021"</f>
        <v>09/06/2021</v>
      </c>
      <c r="L536" t="str">
        <f>"27/02/2021"</f>
        <v>27/02/2021</v>
      </c>
      <c r="M536" t="str">
        <f>""</f>
        <v/>
      </c>
      <c r="N536" t="str">
        <f>"Officina Biesse S.n.c. Via Matteotti 24 35020 Arzergrande PD"</f>
        <v>Officina Biesse S.n.c. Via Matteotti 24 35020 Arzergrande PD</v>
      </c>
      <c r="O536" t="str">
        <f>"Officina Biesse S.n.c. Via Matteotti 24 35020 Arzergrande PD"</f>
        <v>Officina Biesse S.n.c. Via Matteotti 24 35020 Arzergrande PD</v>
      </c>
      <c r="P536" t="str">
        <f>"Z071A3BD6B: [4455.77€ ]"</f>
        <v>Z071A3BD6B: [4455.77€ ]</v>
      </c>
      <c r="Q536" t="str">
        <f>""</f>
        <v/>
      </c>
      <c r="R536" t="str">
        <f>""</f>
        <v/>
      </c>
      <c r="S536" t="str">
        <f>""</f>
        <v/>
      </c>
      <c r="T536" t="str">
        <f>"https://portaletrasparenza.consorziobacchiglione.it/dettagli/attodigara/512/manutenzione-riparazione-e-lavaggio-mezzi-con-targa-pdah661-agk711-da564ze-pdaf497-pdaf480-pdaf496-motopompa-n4-n6.html"</f>
        <v>https://portaletrasparenza.consorziobacchiglione.it/dettagli/attodigara/512/manutenzione-riparazione-e-lavaggio-mezzi-con-targa-pdah661-agk711-da564ze-pdaf497-pdaf480-pdaf496-motopompa-n4-n6.html</v>
      </c>
      <c r="U536" t="str">
        <f>""</f>
        <v/>
      </c>
      <c r="V5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37" spans="1:22" x14ac:dyDescent="0.3">
      <c r="A537" t="str">
        <f>"Affidamento"</f>
        <v>Affidamento</v>
      </c>
      <c r="B537" t="str">
        <f>"Comunicazione istituzionale. Affidamento del servizio di pubblicazione su supplemento speciale agricoltura della Difesa del Popolo."</f>
        <v>Comunicazione istituzionale. Affidamento del servizio di pubblicazione su supplemento speciale agricoltura della Difesa del Popolo.</v>
      </c>
      <c r="C537" t="str">
        <f>"Z02320CEC0"</f>
        <v>Z02320CEC0</v>
      </c>
      <c r="D537" t="str">
        <f>"09/06/2021"</f>
        <v>09/06/2021</v>
      </c>
      <c r="E537" t="str">
        <f>""</f>
        <v/>
      </c>
      <c r="F537" t="str">
        <f>""</f>
        <v/>
      </c>
      <c r="G537" t="str">
        <f>"350.00"</f>
        <v>350.00</v>
      </c>
      <c r="H537" t="str">
        <f>"Consorzio di bonifica Bacchiglione"</f>
        <v>Consorzio di bonifica Bacchiglione</v>
      </c>
      <c r="I537" t="str">
        <f>"92223390284"</f>
        <v>92223390284</v>
      </c>
      <c r="J537" t="str">
        <f>"23-AFFIDAMENTO DIRETTO"</f>
        <v>23-AFFIDAMENTO DIRETTO</v>
      </c>
      <c r="K537" t="str">
        <f>"09/06/2021"</f>
        <v>09/06/2021</v>
      </c>
      <c r="L537" t="str">
        <f>"20/07/2021"</f>
        <v>20/07/2021</v>
      </c>
      <c r="M537" t="str">
        <f>""</f>
        <v/>
      </c>
      <c r="N537" t="str">
        <f>"EUGANEA EDITORIALE COMUNICAZIONE S.R.L."</f>
        <v>EUGANEA EDITORIALE COMUNICAZIONE S.R.L.</v>
      </c>
      <c r="O537" t="str">
        <f>"EUGANEA EDITORIALE COMUNICAZIONE S.R.L."</f>
        <v>EUGANEA EDITORIALE COMUNICAZIONE S.R.L.</v>
      </c>
      <c r="P537" t="str">
        <f>"Z02320CEC0: [350.00€ ]"</f>
        <v>Z02320CEC0: [350.00€ ]</v>
      </c>
      <c r="Q537" t="str">
        <f>""</f>
        <v/>
      </c>
      <c r="R537" t="str">
        <f>""</f>
        <v/>
      </c>
      <c r="S537" t="str">
        <f>""</f>
        <v/>
      </c>
      <c r="T537" t="str">
        <f>"https://portaletrasparenza.consorziobacchiglione.it/dettagli/attodigara/6934/comunicazione-istituzionale-affidamento-del-servizio-di-pubblicazione-su-supplemento-speciale-agricoltura-della-difesa-del-popolo.html"</f>
        <v>https://portaletrasparenza.consorziobacchiglione.it/dettagli/attodigara/6934/comunicazione-istituzionale-affidamento-del-servizio-di-pubblicazione-su-supplemento-speciale-agricoltura-della-difesa-del-popolo.html</v>
      </c>
      <c r="U537" t="str">
        <f>"https://portaletrasparenza.consorziobacchiglione.it/download/attodigara/6934/63ac4596c5f38.PDF"</f>
        <v>https://portaletrasparenza.consorziobacchiglione.it/download/attodigara/6934/63ac4596c5f38.PDF</v>
      </c>
      <c r="V53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38" spans="1:22" x14ac:dyDescent="0.3">
      <c r="A538" t="str">
        <f>"Affidamento"</f>
        <v>Affidamento</v>
      </c>
      <c r="B538" t="str">
        <f>"Interventi di ricalibratura dell'affluente allo scolo Schilla denominato Cà Molin- Ponticello di Via S. Antonio Abate. - Processo ID 007-07."</f>
        <v>Interventi di ricalibratura dell'affluente allo scolo Schilla denominato Cà Molin- Ponticello di Via S. Antonio Abate. - Processo ID 007-07.</v>
      </c>
      <c r="C538" t="str">
        <f>"Z6D31D4FFD"</f>
        <v>Z6D31D4FFD</v>
      </c>
      <c r="D538" t="str">
        <f>"14/06/2021"</f>
        <v>14/06/2021</v>
      </c>
      <c r="E538" t="str">
        <f>""</f>
        <v/>
      </c>
      <c r="F538" t="str">
        <f>""</f>
        <v/>
      </c>
      <c r="G538" t="str">
        <f>"24725.00"</f>
        <v>24725.00</v>
      </c>
      <c r="H538" t="str">
        <f>"Consorzio di bonifica Bacchiglione"</f>
        <v>Consorzio di bonifica Bacchiglione</v>
      </c>
      <c r="I538" t="str">
        <f>"92223390284"</f>
        <v>92223390284</v>
      </c>
      <c r="J538" t="str">
        <f>"04-PROCEDURA NEGOZIATA SENZA PREVIA PUBBLICAZIONE"</f>
        <v>04-PROCEDURA NEGOZIATA SENZA PREVIA PUBBLICAZIONE</v>
      </c>
      <c r="K538" t="str">
        <f>"09/06/2021"</f>
        <v>09/06/2021</v>
      </c>
      <c r="L538" t="str">
        <f>"31/12/2021"</f>
        <v>31/12/2021</v>
      </c>
      <c r="M538" t="str">
        <f>""</f>
        <v/>
      </c>
      <c r="N538" t="str">
        <f>"Costruzioni Ing. Carlo Broetto s.r.l. con Unico Socio | Martini Luciano s.r.l. | La Cittadella s.n.c. di Ferrara Andrea E C."</f>
        <v>Costruzioni Ing. Carlo Broetto s.r.l. con Unico Socio | Martini Luciano s.r.l. | La Cittadella s.n.c. di Ferrara Andrea E C.</v>
      </c>
      <c r="O538" t="str">
        <f>"Martini Luciano s.r.l."</f>
        <v>Martini Luciano s.r.l.</v>
      </c>
      <c r="P538" t="str">
        <f>"Z6D31D4FFD: [24444.80€ ]"</f>
        <v>Z6D31D4FFD: [24444.80€ ]</v>
      </c>
      <c r="Q538" t="str">
        <f>""</f>
        <v/>
      </c>
      <c r="R538" t="str">
        <f>""</f>
        <v/>
      </c>
      <c r="S538" t="str">
        <f>""</f>
        <v/>
      </c>
      <c r="T538" t="str">
        <f>"https://portaletrasparenza.consorziobacchiglione.it/dettagli/attodigara/6935/interventi-di-ricalibratura-dell-affluente-allo-scolo-schilla-denominato-ca-molin-ponticello-di-via-s-antonio-abate-processo-id-007-07.html"</f>
        <v>https://portaletrasparenza.consorziobacchiglione.it/dettagli/attodigara/6935/interventi-di-ricalibratura-dell-affluente-allo-scolo-schilla-denominato-ca-molin-ponticello-di-via-s-antonio-abate-processo-id-007-07.html</v>
      </c>
      <c r="U538" t="str">
        <f>"https://portaletrasparenza.consorziobacchiglione.it/download/attodigara/6935/63ac4598ee0dc.PDF"</f>
        <v>https://portaletrasparenza.consorziobacchiglione.it/download/attodigara/6935/63ac4598ee0dc.PDF</v>
      </c>
      <c r="V538">
        <f>(SUBSTITUTE(Tabella1[[#This Row],[Importo di aggiudicazione]],".",","))-(SUBSTITUTE(  SUBSTITUTE(          SUBSTITUTE(Tabella1[[#This Row],[Dettaglio somme liquidate]],Tabella1[[#This Row],[CIG]]&amp;": [",""),"€ ]",""),".",","))</f>
        <v>280.20000000000073</v>
      </c>
    </row>
    <row r="539" spans="1:22" x14ac:dyDescent="0.3">
      <c r="A539" t="str">
        <f>"Affidamento"</f>
        <v>Affidamento</v>
      </c>
      <c r="B539" t="str">
        <f>"Noleggio autogrù e camiongrù per sollevamento pompe Idrovora Maestro."</f>
        <v>Noleggio autogrù e camiongrù per sollevamento pompe Idrovora Maestro.</v>
      </c>
      <c r="C539" t="str">
        <f>"Z431A937F9"</f>
        <v>Z431A937F9</v>
      </c>
      <c r="D539" t="str">
        <f>"04/11/2021"</f>
        <v>04/11/2021</v>
      </c>
      <c r="E539" t="str">
        <f>""</f>
        <v/>
      </c>
      <c r="F539" t="str">
        <f>""</f>
        <v/>
      </c>
      <c r="G539" t="str">
        <f>"790.00"</f>
        <v>790.00</v>
      </c>
      <c r="H539" t="str">
        <f>"Consorzio di bonifica Bacchiglione"</f>
        <v>Consorzio di bonifica Bacchiglione</v>
      </c>
      <c r="I539" t="str">
        <f>"92223390284"</f>
        <v>92223390284</v>
      </c>
      <c r="J539" t="str">
        <f>"23-AFFIDAMENTO DIRETTO"</f>
        <v>23-AFFIDAMENTO DIRETTO</v>
      </c>
      <c r="K539" t="str">
        <f>"09/07/2021"</f>
        <v>09/07/2021</v>
      </c>
      <c r="L539" t="str">
        <f>"01/08/2021"</f>
        <v>01/08/2021</v>
      </c>
      <c r="M539" t="str">
        <f>""</f>
        <v/>
      </c>
      <c r="N539" t="str">
        <f>"Aggio e Figli Autotrasporti s.r.l. Via Chiusure 47 35020 Maserà di Padova PD"</f>
        <v>Aggio e Figli Autotrasporti s.r.l. Via Chiusure 47 35020 Maserà di Padova PD</v>
      </c>
      <c r="O539" t="str">
        <f>"Aggio e Figli Autotrasporti s.r.l. Via Chiusure 47 35020 Maserà di Padova PD"</f>
        <v>Aggio e Figli Autotrasporti s.r.l. Via Chiusure 47 35020 Maserà di Padova PD</v>
      </c>
      <c r="P539" t="str">
        <f>"Z431A937F9: [790.00€ ]"</f>
        <v>Z431A937F9: [790.00€ ]</v>
      </c>
      <c r="Q539" t="str">
        <f>""</f>
        <v/>
      </c>
      <c r="R539" t="str">
        <f>""</f>
        <v/>
      </c>
      <c r="S539" t="str">
        <f>""</f>
        <v/>
      </c>
      <c r="T539" t="str">
        <f>"https://portaletrasparenza.consorziobacchiglione.it/dettagli/attodigara/577/noleggio-autogru-e-camiongru-per-sollevamento-pompe-idrovora-maestro.html"</f>
        <v>https://portaletrasparenza.consorziobacchiglione.it/dettagli/attodigara/577/noleggio-autogru-e-camiongru-per-sollevamento-pompe-idrovora-maestro.html</v>
      </c>
      <c r="U539" t="str">
        <f>""</f>
        <v/>
      </c>
      <c r="V5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40" spans="1:22" x14ac:dyDescent="0.3">
      <c r="A540" t="str">
        <f>"Affidamento"</f>
        <v>Affidamento</v>
      </c>
      <c r="B540" t="str">
        <f>"Manutenzione elettropompe Idrovora Maestro."</f>
        <v>Manutenzione elettropompe Idrovora Maestro.</v>
      </c>
      <c r="C540" t="str">
        <f>"ZEA1A937E2"</f>
        <v>ZEA1A937E2</v>
      </c>
      <c r="D540" t="str">
        <f>"04/11/2021"</f>
        <v>04/11/2021</v>
      </c>
      <c r="E540" t="str">
        <f>""</f>
        <v/>
      </c>
      <c r="F540" t="str">
        <f>""</f>
        <v/>
      </c>
      <c r="G540" t="str">
        <f>"2064.00"</f>
        <v>2064.00</v>
      </c>
      <c r="H540" t="str">
        <f>"Consorzio di bonifica Bacchiglione"</f>
        <v>Consorzio di bonifica Bacchiglione</v>
      </c>
      <c r="I540" t="str">
        <f>"92223390284"</f>
        <v>92223390284</v>
      </c>
      <c r="J540" t="str">
        <f>"23-AFFIDAMENTO DIRETTO"</f>
        <v>23-AFFIDAMENTO DIRETTO</v>
      </c>
      <c r="K540" t="str">
        <f>"09/07/2021"</f>
        <v>09/07/2021</v>
      </c>
      <c r="L540" t="str">
        <f>"26/08/2021"</f>
        <v>26/08/2021</v>
      </c>
      <c r="M540" t="str">
        <f>""</f>
        <v/>
      </c>
      <c r="N540" t="str">
        <f>"Xylem Water Solutions Italia S.r.l. Via Gioacchino Rossini 1A 20020 Lainate MI"</f>
        <v>Xylem Water Solutions Italia S.r.l. Via Gioacchino Rossini 1A 20020 Lainate MI</v>
      </c>
      <c r="O540" t="str">
        <f>"Xylem Water Solutions Italia S.r.l. Via Gioacchino Rossini 1A 20020 Lainate MI"</f>
        <v>Xylem Water Solutions Italia S.r.l. Via Gioacchino Rossini 1A 20020 Lainate MI</v>
      </c>
      <c r="P540" t="str">
        <f>"ZEA1A937E2: [2064.00€ ]"</f>
        <v>ZEA1A937E2: [2064.00€ ]</v>
      </c>
      <c r="Q540" t="str">
        <f>""</f>
        <v/>
      </c>
      <c r="R540" t="str">
        <f>""</f>
        <v/>
      </c>
      <c r="S540" t="str">
        <f>""</f>
        <v/>
      </c>
      <c r="T540" t="str">
        <f>"https://portaletrasparenza.consorziobacchiglione.it/dettagli/attodigara/576/manutenzione-elettropompe-idrovora-maestro.html"</f>
        <v>https://portaletrasparenza.consorziobacchiglione.it/dettagli/attodigara/576/manutenzione-elettropompe-idrovora-maestro.html</v>
      </c>
      <c r="U540" t="str">
        <f>""</f>
        <v/>
      </c>
      <c r="V5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41" spans="1:22" x14ac:dyDescent="0.3">
      <c r="A541" t="str">
        <f>"Affidamento"</f>
        <v>Affidamento</v>
      </c>
      <c r="B541" t="str">
        <f>"Riparazione pc Ing.Furlan."</f>
        <v>Riparazione pc Ing.Furlan.</v>
      </c>
      <c r="C541" t="str">
        <f>"Z6C1A93742"</f>
        <v>Z6C1A93742</v>
      </c>
      <c r="D541" t="str">
        <f>"04/11/2021"</f>
        <v>04/11/2021</v>
      </c>
      <c r="E541" t="str">
        <f>""</f>
        <v/>
      </c>
      <c r="F541" t="str">
        <f>""</f>
        <v/>
      </c>
      <c r="G541" t="str">
        <f>"145.00"</f>
        <v>145.00</v>
      </c>
      <c r="H541" t="str">
        <f>"Consorzio di bonifica Bacchiglione"</f>
        <v>Consorzio di bonifica Bacchiglione</v>
      </c>
      <c r="I541" t="str">
        <f>"92223390284"</f>
        <v>92223390284</v>
      </c>
      <c r="J541" t="str">
        <f>"23-AFFIDAMENTO DIRETTO"</f>
        <v>23-AFFIDAMENTO DIRETTO</v>
      </c>
      <c r="K541" t="str">
        <f>"09/07/2021"</f>
        <v>09/07/2021</v>
      </c>
      <c r="L541" t="str">
        <f>"10/08/2021"</f>
        <v>10/08/2021</v>
      </c>
      <c r="M541" t="str">
        <f>""</f>
        <v/>
      </c>
      <c r="N541" t="str">
        <f>"TPH Elettronica s.a.s. Via N. Pizzolo 51A 35132 Padova"</f>
        <v>TPH Elettronica s.a.s. Via N. Pizzolo 51A 35132 Padova</v>
      </c>
      <c r="O541" t="str">
        <f>"TPH Elettronica s.a.s. Via N. Pizzolo 51A 35132 Padova"</f>
        <v>TPH Elettronica s.a.s. Via N. Pizzolo 51A 35132 Padova</v>
      </c>
      <c r="P541" t="str">
        <f>"Z6C1A93742: [145.00€ ]"</f>
        <v>Z6C1A93742: [145.00€ ]</v>
      </c>
      <c r="Q541" t="str">
        <f>""</f>
        <v/>
      </c>
      <c r="R541" t="str">
        <f>""</f>
        <v/>
      </c>
      <c r="S541" t="str">
        <f>""</f>
        <v/>
      </c>
      <c r="T541" t="str">
        <f>"https://portaletrasparenza.consorziobacchiglione.it/dettagli/attodigara/575/riparazione-pc-ing-furlan.html"</f>
        <v>https://portaletrasparenza.consorziobacchiglione.it/dettagli/attodigara/575/riparazione-pc-ing-furlan.html</v>
      </c>
      <c r="U541" t="str">
        <f>""</f>
        <v/>
      </c>
      <c r="V54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42" spans="1:22" x14ac:dyDescent="0.3">
      <c r="A542" t="str">
        <f>"Affidamento"</f>
        <v>Affidamento</v>
      </c>
      <c r="B542" t="str">
        <f>"Fornitura stabilizzato rosso per scolo Fossamonda."</f>
        <v>Fornitura stabilizzato rosso per scolo Fossamonda.</v>
      </c>
      <c r="C542" t="str">
        <f>"Z051A936F3"</f>
        <v>Z051A936F3</v>
      </c>
      <c r="D542" t="str">
        <f>"04/11/2021"</f>
        <v>04/11/2021</v>
      </c>
      <c r="E542" t="str">
        <f>""</f>
        <v/>
      </c>
      <c r="F542" t="str">
        <f>""</f>
        <v/>
      </c>
      <c r="G542" t="str">
        <f>"82.14"</f>
        <v>82.14</v>
      </c>
      <c r="H542" t="str">
        <f>"Consorzio di bonifica Bacchiglione"</f>
        <v>Consorzio di bonifica Bacchiglione</v>
      </c>
      <c r="I542" t="str">
        <f>"92223390284"</f>
        <v>92223390284</v>
      </c>
      <c r="J542" t="str">
        <f>"23-AFFIDAMENTO DIRETTO"</f>
        <v>23-AFFIDAMENTO DIRETTO</v>
      </c>
      <c r="K542" t="str">
        <f>"09/07/2021"</f>
        <v>09/07/2021</v>
      </c>
      <c r="L542" t="str">
        <f>"10/08/2021"</f>
        <v>10/08/2021</v>
      </c>
      <c r="M542" t="str">
        <f>""</f>
        <v/>
      </c>
      <c r="N542" t="str">
        <f>"Idronord s.r.l. Via delle Industrie 3C 30036 Santa Maria Di Sala VE"</f>
        <v>Idronord s.r.l. Via delle Industrie 3C 30036 Santa Maria Di Sala VE</v>
      </c>
      <c r="O542" t="str">
        <f>"Idronord s.r.l. Via delle Industrie 3C 30036 Santa Maria Di Sala VE"</f>
        <v>Idronord s.r.l. Via delle Industrie 3C 30036 Santa Maria Di Sala VE</v>
      </c>
      <c r="P542" t="str">
        <f>"Z051A936F3: [82.14€ ]"</f>
        <v>Z051A936F3: [82.14€ ]</v>
      </c>
      <c r="Q542" t="str">
        <f>""</f>
        <v/>
      </c>
      <c r="R542" t="str">
        <f>""</f>
        <v/>
      </c>
      <c r="S542" t="str">
        <f>""</f>
        <v/>
      </c>
      <c r="T542" t="str">
        <f>"https://portaletrasparenza.consorziobacchiglione.it/dettagli/attodigara/574/fornitura-stabilizzato-rosso-per-scolo-fossamonda.html"</f>
        <v>https://portaletrasparenza.consorziobacchiglione.it/dettagli/attodigara/574/fornitura-stabilizzato-rosso-per-scolo-fossamonda.html</v>
      </c>
      <c r="U542" t="str">
        <f>""</f>
        <v/>
      </c>
      <c r="V5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43" spans="1:22" x14ac:dyDescent="0.3">
      <c r="A543" t="str">
        <f>"Affidamento"</f>
        <v>Affidamento</v>
      </c>
      <c r="B543" t="str">
        <f>"Noleggio vibroinfissore per lavori su scolo Rialto."</f>
        <v>Noleggio vibroinfissore per lavori su scolo Rialto.</v>
      </c>
      <c r="C543" t="str">
        <f>"Z8B1A935CF"</f>
        <v>Z8B1A935CF</v>
      </c>
      <c r="D543" t="str">
        <f>"04/11/2021"</f>
        <v>04/11/2021</v>
      </c>
      <c r="E543" t="str">
        <f>""</f>
        <v/>
      </c>
      <c r="F543" t="str">
        <f>""</f>
        <v/>
      </c>
      <c r="G543" t="str">
        <f>"1600.00"</f>
        <v>1600.00</v>
      </c>
      <c r="H543" t="str">
        <f>"Consorzio di bonifica Bacchiglione"</f>
        <v>Consorzio di bonifica Bacchiglione</v>
      </c>
      <c r="I543" t="str">
        <f>"92223390284"</f>
        <v>92223390284</v>
      </c>
      <c r="J543" t="str">
        <f>"23-AFFIDAMENTO DIRETTO"</f>
        <v>23-AFFIDAMENTO DIRETTO</v>
      </c>
      <c r="K543" t="str">
        <f>"09/07/2021"</f>
        <v>09/07/2021</v>
      </c>
      <c r="L543" t="str">
        <f>"26/08/2021"</f>
        <v>26/08/2021</v>
      </c>
      <c r="M543" t="str">
        <f>""</f>
        <v/>
      </c>
      <c r="N543" t="str">
        <f>"Sorme Noleggi s.a.s. Via Monache 21 35030 Selvazzano Dentro PD"</f>
        <v>Sorme Noleggi s.a.s. Via Monache 21 35030 Selvazzano Dentro PD</v>
      </c>
      <c r="O543" t="str">
        <f>"Sorme Noleggi s.a.s. Via Monache 21 35030 Selvazzano Dentro PD"</f>
        <v>Sorme Noleggi s.a.s. Via Monache 21 35030 Selvazzano Dentro PD</v>
      </c>
      <c r="P543" t="str">
        <f>"Z8B1A935CF: [1600.00€ ]"</f>
        <v>Z8B1A935CF: [1600.00€ ]</v>
      </c>
      <c r="Q543" t="str">
        <f>""</f>
        <v/>
      </c>
      <c r="R543" t="str">
        <f>""</f>
        <v/>
      </c>
      <c r="S543" t="str">
        <f>""</f>
        <v/>
      </c>
      <c r="T543" t="str">
        <f>"https://portaletrasparenza.consorziobacchiglione.it/dettagli/attodigara/571/noleggio-vibroinfissore-per-lavori-su-scolo-rialto.html"</f>
        <v>https://portaletrasparenza.consorziobacchiglione.it/dettagli/attodigara/571/noleggio-vibroinfissore-per-lavori-su-scolo-rialto.html</v>
      </c>
      <c r="U543" t="str">
        <f>""</f>
        <v/>
      </c>
      <c r="V54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44" spans="1:22" x14ac:dyDescent="0.3">
      <c r="A544" t="str">
        <f>"Affidamento"</f>
        <v>Affidamento</v>
      </c>
      <c r="B544" t="str">
        <f>"Riparazione decespugliatore Stihl n 3 C.O.S.Margherita."</f>
        <v>Riparazione decespugliatore Stihl n 3 C.O.S.Margherita.</v>
      </c>
      <c r="C544" t="str">
        <f>"Z051A935F8"</f>
        <v>Z051A935F8</v>
      </c>
      <c r="D544" t="str">
        <f>"04/11/2021"</f>
        <v>04/11/2021</v>
      </c>
      <c r="E544" t="str">
        <f>""</f>
        <v/>
      </c>
      <c r="F544" t="str">
        <f>""</f>
        <v/>
      </c>
      <c r="G544" t="str">
        <f>"68.24"</f>
        <v>68.24</v>
      </c>
      <c r="H544" t="str">
        <f>"Consorzio di bonifica Bacchiglione"</f>
        <v>Consorzio di bonifica Bacchiglione</v>
      </c>
      <c r="I544" t="str">
        <f>"92223390284"</f>
        <v>92223390284</v>
      </c>
      <c r="J544" t="str">
        <f>"23-AFFIDAMENTO DIRETTO"</f>
        <v>23-AFFIDAMENTO DIRETTO</v>
      </c>
      <c r="K544" t="str">
        <f>"09/07/2021"</f>
        <v>09/07/2021</v>
      </c>
      <c r="L544" t="str">
        <f>"10/08/2021"</f>
        <v>10/08/2021</v>
      </c>
      <c r="M544" t="str">
        <f>""</f>
        <v/>
      </c>
      <c r="N544" t="str">
        <f>"Frizzarin Riccardo Via Papa Giovanni XXXIII 20 35026 Conselve PD"</f>
        <v>Frizzarin Riccardo Via Papa Giovanni XXXIII 20 35026 Conselve PD</v>
      </c>
      <c r="O544" t="str">
        <f>"Frizzarin Riccardo Via Papa Giovanni XXXIII 20 35026 Conselve PD"</f>
        <v>Frizzarin Riccardo Via Papa Giovanni XXXIII 20 35026 Conselve PD</v>
      </c>
      <c r="P544" t="str">
        <f>"Z051A935F8: [68.23€ ]"</f>
        <v>Z051A935F8: [68.23€ ]</v>
      </c>
      <c r="Q544" t="str">
        <f>""</f>
        <v/>
      </c>
      <c r="R544" t="str">
        <f>""</f>
        <v/>
      </c>
      <c r="S544" t="str">
        <f>""</f>
        <v/>
      </c>
      <c r="T544" t="str">
        <f>"https://portaletrasparenza.consorziobacchiglione.it/dettagli/attodigara/573/riparazione-decespugliatore-stihl-n-3-c-o-s-margherita.html"</f>
        <v>https://portaletrasparenza.consorziobacchiglione.it/dettagli/attodigara/573/riparazione-decespugliatore-stihl-n-3-c-o-s-margherita.html</v>
      </c>
      <c r="U544" t="str">
        <f>""</f>
        <v/>
      </c>
      <c r="V544">
        <f>(SUBSTITUTE(Tabella1[[#This Row],[Importo di aggiudicazione]],".",","))-(SUBSTITUTE(  SUBSTITUTE(          SUBSTITUTE(Tabella1[[#This Row],[Dettaglio somme liquidate]],Tabella1[[#This Row],[CIG]]&amp;": [",""),"€ ]",""),".",","))</f>
        <v>9.9999999999909051E-3</v>
      </c>
    </row>
    <row r="545" spans="1:22" x14ac:dyDescent="0.3">
      <c r="A545" t="str">
        <f>"Affidamento"</f>
        <v>Affidamento</v>
      </c>
      <c r="B545" t="str">
        <f>"Fornitura ricambi vari per decespugliatori C.O.S.Margherita."</f>
        <v>Fornitura ricambi vari per decespugliatori C.O.S.Margherita.</v>
      </c>
      <c r="C545" t="str">
        <f>"ZAC1A935E1"</f>
        <v>ZAC1A935E1</v>
      </c>
      <c r="D545" t="str">
        <f>"04/11/2021"</f>
        <v>04/11/2021</v>
      </c>
      <c r="E545" t="str">
        <f>""</f>
        <v/>
      </c>
      <c r="F545" t="str">
        <f>""</f>
        <v/>
      </c>
      <c r="G545" t="str">
        <f>"78.69"</f>
        <v>78.69</v>
      </c>
      <c r="H545" t="str">
        <f>"Consorzio di bonifica Bacchiglione"</f>
        <v>Consorzio di bonifica Bacchiglione</v>
      </c>
      <c r="I545" t="str">
        <f>"92223390284"</f>
        <v>92223390284</v>
      </c>
      <c r="J545" t="str">
        <f>"23-AFFIDAMENTO DIRETTO"</f>
        <v>23-AFFIDAMENTO DIRETTO</v>
      </c>
      <c r="K545" t="str">
        <f>"09/07/2021"</f>
        <v>09/07/2021</v>
      </c>
      <c r="L545" t="str">
        <f>"10/08/2021"</f>
        <v>10/08/2021</v>
      </c>
      <c r="M545" t="str">
        <f>""</f>
        <v/>
      </c>
      <c r="N545" t="str">
        <f>"Frizzarin Riccardo Via Papa Giovanni XXXIII 20 35026 Conselve PD"</f>
        <v>Frizzarin Riccardo Via Papa Giovanni XXXIII 20 35026 Conselve PD</v>
      </c>
      <c r="O545" t="str">
        <f>"Frizzarin Riccardo Via Papa Giovanni XXXIII 20 35026 Conselve PD"</f>
        <v>Frizzarin Riccardo Via Papa Giovanni XXXIII 20 35026 Conselve PD</v>
      </c>
      <c r="P545" t="str">
        <f>"ZAC1A935E1: [78.68€ ]"</f>
        <v>ZAC1A935E1: [78.68€ ]</v>
      </c>
      <c r="Q545" t="str">
        <f>""</f>
        <v/>
      </c>
      <c r="R545" t="str">
        <f>""</f>
        <v/>
      </c>
      <c r="S545" t="str">
        <f>""</f>
        <v/>
      </c>
      <c r="T545" t="str">
        <f>"https://portaletrasparenza.consorziobacchiglione.it/dettagli/attodigara/572/fornitura-ricambi-vari-per-decespugliatori-c-o-s-margherita.html"</f>
        <v>https://portaletrasparenza.consorziobacchiglione.it/dettagli/attodigara/572/fornitura-ricambi-vari-per-decespugliatori-c-o-s-margherita.html</v>
      </c>
      <c r="U545" t="str">
        <f>""</f>
        <v/>
      </c>
      <c r="V545">
        <f>(SUBSTITUTE(Tabella1[[#This Row],[Importo di aggiudicazione]],".",","))-(SUBSTITUTE(  SUBSTITUTE(          SUBSTITUTE(Tabella1[[#This Row],[Dettaglio somme liquidate]],Tabella1[[#This Row],[CIG]]&amp;": [",""),"€ ]",""),".",","))</f>
        <v>9.9999999999909051E-3</v>
      </c>
    </row>
    <row r="546" spans="1:22" x14ac:dyDescent="0.3">
      <c r="A546" t="str">
        <f>"Affidamento"</f>
        <v>Affidamento</v>
      </c>
      <c r="B546" t="str">
        <f>"Fornitura tubo tondo e quadro con relative curve per lavori presso i sifoni di adescamento lungo il canale Battaglia"</f>
        <v>Fornitura tubo tondo e quadro con relative curve per lavori presso i sifoni di adescamento lungo il canale Battaglia</v>
      </c>
      <c r="C546" t="str">
        <f>"ZAD326BE7C"</f>
        <v>ZAD326BE7C</v>
      </c>
      <c r="D546" t="str">
        <f>"19/07/2021"</f>
        <v>19/07/2021</v>
      </c>
      <c r="E546" t="str">
        <f>""</f>
        <v/>
      </c>
      <c r="F546" t="str">
        <f>""</f>
        <v/>
      </c>
      <c r="G546" t="str">
        <f>"443.52"</f>
        <v>443.52</v>
      </c>
      <c r="H546" t="str">
        <f>"Consorzio di bonifica Bacchiglione"</f>
        <v>Consorzio di bonifica Bacchiglione</v>
      </c>
      <c r="I546" t="str">
        <f>"92223390284"</f>
        <v>92223390284</v>
      </c>
      <c r="J546" t="str">
        <f>"23-AFFIDAMENTO DIRETTO"</f>
        <v>23-AFFIDAMENTO DIRETTO</v>
      </c>
      <c r="K546" t="str">
        <f>"09/07/2021"</f>
        <v>09/07/2021</v>
      </c>
      <c r="L546" t="str">
        <f>"31/05/2021"</f>
        <v>31/05/2021</v>
      </c>
      <c r="M546" t="str">
        <f>""</f>
        <v/>
      </c>
      <c r="N546" t="str">
        <f>"Alba Siderurgica s.r.l. Via Bolzani 150 35020 Maserà di Padova"</f>
        <v>Alba Siderurgica s.r.l. Via Bolzani 150 35020 Maserà di Padova</v>
      </c>
      <c r="O546" t="str">
        <f>"Alba Siderurgica s.r.l. Via Bolzani 150 35020 Maserà di Padova"</f>
        <v>Alba Siderurgica s.r.l. Via Bolzani 150 35020 Maserà di Padova</v>
      </c>
      <c r="P546" t="str">
        <f>"ZAD326BE7C: [443.52€ ]"</f>
        <v>ZAD326BE7C: [443.52€ ]</v>
      </c>
      <c r="Q546" t="str">
        <f>""</f>
        <v/>
      </c>
      <c r="R546" t="str">
        <f>""</f>
        <v/>
      </c>
      <c r="S546" t="str">
        <f>""</f>
        <v/>
      </c>
      <c r="T546" t="str">
        <f>"https://portaletrasparenza.consorziobacchiglione.it/dettagli/attodigara/7006/fornitura-tubo-tondo-e-quadro-con-relative-curve-per-lavori-presso-i-sifoni-di-adescamento-lungo-il-canale-battaglia.html"</f>
        <v>https://portaletrasparenza.consorziobacchiglione.it/dettagli/attodigara/7006/fornitura-tubo-tondo-e-quadro-con-relative-curve-per-lavori-presso-i-sifoni-di-adescamento-lungo-il-canale-battaglia.html</v>
      </c>
      <c r="U546" t="str">
        <f>"https://portaletrasparenza.consorziobacchiglione.it/download/attodigara/7006/63ac45a867fbe.PDF"</f>
        <v>https://portaletrasparenza.consorziobacchiglione.it/download/attodigara/7006/63ac45a867fbe.PDF</v>
      </c>
      <c r="V5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47" spans="1:22" x14ac:dyDescent="0.3">
      <c r="A547" t="str">
        <f>"Affidamento"</f>
        <v>Affidamento</v>
      </c>
      <c r="B547" t="str">
        <f>"Manutenzione G.E presso Idrovora Saracinesca"</f>
        <v>Manutenzione G.E presso Idrovora Saracinesca</v>
      </c>
      <c r="C547" t="str">
        <f>"ZAD3269E21"</f>
        <v>ZAD3269E21</v>
      </c>
      <c r="D547" t="str">
        <f>"19/07/2021"</f>
        <v>19/07/2021</v>
      </c>
      <c r="E547" t="str">
        <f>""</f>
        <v/>
      </c>
      <c r="F547" t="str">
        <f>""</f>
        <v/>
      </c>
      <c r="G547" t="str">
        <f>"459.50"</f>
        <v>459.50</v>
      </c>
      <c r="H547" t="str">
        <f>"Consorzio di bonifica Bacchiglione"</f>
        <v>Consorzio di bonifica Bacchiglione</v>
      </c>
      <c r="I547" t="str">
        <f>"92223390284"</f>
        <v>92223390284</v>
      </c>
      <c r="J547" t="str">
        <f>"23-AFFIDAMENTO DIRETTO"</f>
        <v>23-AFFIDAMENTO DIRETTO</v>
      </c>
      <c r="K547" t="str">
        <f>"09/07/2021"</f>
        <v>09/07/2021</v>
      </c>
      <c r="L547" t="str">
        <f>"30/07/2021"</f>
        <v>30/07/2021</v>
      </c>
      <c r="M547" t="str">
        <f>""</f>
        <v/>
      </c>
      <c r="N547" t="str">
        <f>"Italmotori S.r.l. Corso Milano 83 35139 Padova"</f>
        <v>Italmotori S.r.l. Corso Milano 83 35139 Padova</v>
      </c>
      <c r="O547" t="str">
        <f>"Italmotori S.r.l. Corso Milano 83 35139 Padova"</f>
        <v>Italmotori S.r.l. Corso Milano 83 35139 Padova</v>
      </c>
      <c r="P547" t="str">
        <f>"ZAD3269E21: [459.50€ ]"</f>
        <v>ZAD3269E21: [459.50€ ]</v>
      </c>
      <c r="Q547" t="str">
        <f>""</f>
        <v/>
      </c>
      <c r="R547" t="str">
        <f>""</f>
        <v/>
      </c>
      <c r="S547" t="str">
        <f>""</f>
        <v/>
      </c>
      <c r="T547" t="str">
        <f>"https://portaletrasparenza.consorziobacchiglione.it/dettagli/attodigara/7005/manutenzione-g-e-presso-idrovora-saracinesca.html"</f>
        <v>https://portaletrasparenza.consorziobacchiglione.it/dettagli/attodigara/7005/manutenzione-g-e-presso-idrovora-saracinesca.html</v>
      </c>
      <c r="U547" t="str">
        <f>"https://portaletrasparenza.consorziobacchiglione.it/download/attodigara/7005/63ac45a82f677.PDF"</f>
        <v>https://portaletrasparenza.consorziobacchiglione.it/download/attodigara/7005/63ac45a82f677.PDF</v>
      </c>
      <c r="V54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48" spans="1:22" x14ac:dyDescent="0.3">
      <c r="A548" t="str">
        <f>"Affidamento"</f>
        <v>Affidamento</v>
      </c>
      <c r="B548" t="str">
        <f>"Fornitura materiale elettrico per vari Impianti."</f>
        <v>Fornitura materiale elettrico per vari Impianti.</v>
      </c>
      <c r="C548" t="str">
        <f>"Z4E1AE6E6A"</f>
        <v>Z4E1AE6E6A</v>
      </c>
      <c r="D548" t="str">
        <f>"04/11/2021"</f>
        <v>04/11/2021</v>
      </c>
      <c r="E548" t="str">
        <f>""</f>
        <v/>
      </c>
      <c r="F548" t="str">
        <f>""</f>
        <v/>
      </c>
      <c r="G548" t="str">
        <f>"666.99"</f>
        <v>666.99</v>
      </c>
      <c r="H548" t="str">
        <f>"Consorzio di bonifica Bacchiglione"</f>
        <v>Consorzio di bonifica Bacchiglione</v>
      </c>
      <c r="I548" t="str">
        <f>"92223390284"</f>
        <v>92223390284</v>
      </c>
      <c r="J548" t="str">
        <f>"23-AFFIDAMENTO DIRETTO"</f>
        <v>23-AFFIDAMENTO DIRETTO</v>
      </c>
      <c r="K548" t="str">
        <f>"09/08/2021"</f>
        <v>09/08/2021</v>
      </c>
      <c r="L548" t="str">
        <f>"09/11/2021"</f>
        <v>09/11/2021</v>
      </c>
      <c r="M548" t="str">
        <f>""</f>
        <v/>
      </c>
      <c r="N548" t="str">
        <f>"Elettroveneta S.p.A. Viale della Navigazione Interna, 48 - 35129 Padova (PD)"</f>
        <v>Elettroveneta S.p.A. Viale della Navigazione Interna, 48 - 35129 Padova (PD)</v>
      </c>
      <c r="O548" t="str">
        <f>"Elettroveneta S.p.A. Viale della Navigazione Interna, 48 - 35129 Padova (PD)"</f>
        <v>Elettroveneta S.p.A. Viale della Navigazione Interna, 48 - 35129 Padova (PD)</v>
      </c>
      <c r="P548" t="str">
        <f>"Z4E1AE6E6A: [666.99€ ]"</f>
        <v>Z4E1AE6E6A: [666.99€ ]</v>
      </c>
      <c r="Q548" t="str">
        <f>""</f>
        <v/>
      </c>
      <c r="R548" t="str">
        <f>""</f>
        <v/>
      </c>
      <c r="S548" t="str">
        <f>""</f>
        <v/>
      </c>
      <c r="T548" t="str">
        <f>"https://portaletrasparenza.consorziobacchiglione.it/dettagli/attodigara/665/fornitura-materiale-elettrico-per-vari-impianti.html"</f>
        <v>https://portaletrasparenza.consorziobacchiglione.it/dettagli/attodigara/665/fornitura-materiale-elettrico-per-vari-impianti.html</v>
      </c>
      <c r="U548" t="str">
        <f>""</f>
        <v/>
      </c>
      <c r="V5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49" spans="1:22" x14ac:dyDescent="0.3">
      <c r="A549" t="str">
        <f>"Affidamento"</f>
        <v>Affidamento</v>
      </c>
      <c r="B549" t="str">
        <f>"Ritiro cassone scarrabile con autocarro Idrovora Vaso Cavaizze."</f>
        <v>Ritiro cassone scarrabile con autocarro Idrovora Vaso Cavaizze.</v>
      </c>
      <c r="C549" t="str">
        <f>"Z7B1AE69E0"</f>
        <v>Z7B1AE69E0</v>
      </c>
      <c r="D549" t="str">
        <f>"04/11/2021"</f>
        <v>04/11/2021</v>
      </c>
      <c r="E549" t="str">
        <f>""</f>
        <v/>
      </c>
      <c r="F549" t="str">
        <f>""</f>
        <v/>
      </c>
      <c r="G549" t="str">
        <f>"190.00"</f>
        <v>190.00</v>
      </c>
      <c r="H549" t="str">
        <f>"Consorzio di bonifica Bacchiglione"</f>
        <v>Consorzio di bonifica Bacchiglione</v>
      </c>
      <c r="I549" t="str">
        <f>"92223390284"</f>
        <v>92223390284</v>
      </c>
      <c r="J549" t="str">
        <f>"23-AFFIDAMENTO DIRETTO"</f>
        <v>23-AFFIDAMENTO DIRETTO</v>
      </c>
      <c r="K549" t="str">
        <f>"09/08/2021"</f>
        <v>09/08/2021</v>
      </c>
      <c r="L549" t="str">
        <f>"29/09/2021"</f>
        <v>29/09/2021</v>
      </c>
      <c r="M549" t="str">
        <f>""</f>
        <v/>
      </c>
      <c r="N549" t="str">
        <f>"Zagolin Giovanni s.n.c via Boresse 5 35028 Piove di Sacco PD"</f>
        <v>Zagolin Giovanni s.n.c via Boresse 5 35028 Piove di Sacco PD</v>
      </c>
      <c r="O549" t="str">
        <f>"Zagolin Giovanni s.n.c via Boresse 5 35028 Piove di Sacco PD"</f>
        <v>Zagolin Giovanni s.n.c via Boresse 5 35028 Piove di Sacco PD</v>
      </c>
      <c r="P549" t="str">
        <f>"Z7B1AE69E0: [190.00€ ]"</f>
        <v>Z7B1AE69E0: [190.00€ ]</v>
      </c>
      <c r="Q549" t="str">
        <f>""</f>
        <v/>
      </c>
      <c r="R549" t="str">
        <f>""</f>
        <v/>
      </c>
      <c r="S549" t="str">
        <f>""</f>
        <v/>
      </c>
      <c r="T549" t="str">
        <f>"https://portaletrasparenza.consorziobacchiglione.it/dettagli/attodigara/664/ritiro-cassone-scarrabile-con-autocarro-idrovora-vaso-cavaizze.html"</f>
        <v>https://portaletrasparenza.consorziobacchiglione.it/dettagli/attodigara/664/ritiro-cassone-scarrabile-con-autocarro-idrovora-vaso-cavaizze.html</v>
      </c>
      <c r="U549" t="str">
        <f>""</f>
        <v/>
      </c>
      <c r="V5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50" spans="1:22" x14ac:dyDescent="0.3">
      <c r="A550" t="str">
        <f>"Affidamento"</f>
        <v>Affidamento</v>
      </c>
      <c r="B550" t="str">
        <f>"Fornitura e posa in opera di tubo corrugato DN200 su scolina di gronda mediante by-pass del manufatto tombotto n. 3 - Processo ID 003-07."</f>
        <v>Fornitura e posa in opera di tubo corrugato DN200 su scolina di gronda mediante by-pass del manufatto tombotto n. 3 - Processo ID 003-07.</v>
      </c>
      <c r="C550" t="str">
        <f>"ZF41AE6C18"</f>
        <v>ZF41AE6C18</v>
      </c>
      <c r="D550" t="str">
        <f>"04/11/2021"</f>
        <v>04/11/2021</v>
      </c>
      <c r="E550" t="str">
        <f>""</f>
        <v/>
      </c>
      <c r="F550" t="str">
        <f>""</f>
        <v/>
      </c>
      <c r="G550" t="str">
        <f>"1500.00"</f>
        <v>1500.00</v>
      </c>
      <c r="H550" t="str">
        <f>"Consorzio di bonifica Bacchiglione"</f>
        <v>Consorzio di bonifica Bacchiglione</v>
      </c>
      <c r="I550" t="str">
        <f>"92223390284"</f>
        <v>92223390284</v>
      </c>
      <c r="J550" t="str">
        <f>"23-AFFIDAMENTO DIRETTO"</f>
        <v>23-AFFIDAMENTO DIRETTO</v>
      </c>
      <c r="K550" t="str">
        <f>"09/08/2021"</f>
        <v>09/08/2021</v>
      </c>
      <c r="L550" t="str">
        <f>"27/09/2021"</f>
        <v>27/09/2021</v>
      </c>
      <c r="M550" t="str">
        <f>""</f>
        <v/>
      </c>
      <c r="N550" t="str">
        <f>"Viale Valter"</f>
        <v>Viale Valter</v>
      </c>
      <c r="O550" t="str">
        <f>"Viale Valter"</f>
        <v>Viale Valter</v>
      </c>
      <c r="P550" t="str">
        <f>"ZF41AE6C18: [1500.00€ ]"</f>
        <v>ZF41AE6C18: [1500.00€ ]</v>
      </c>
      <c r="Q550" t="str">
        <f>""</f>
        <v/>
      </c>
      <c r="R550" t="str">
        <f>""</f>
        <v/>
      </c>
      <c r="S550" t="str">
        <f>""</f>
        <v/>
      </c>
      <c r="T550" t="str">
        <f>"https://portaletrasparenza.consorziobacchiglione.it/dettagli/attodigara/662/fornitura-e-posa-in-opera-di-tubo-corrugato-dn200-su-scolina-di-gronda-mediante-by-pass-del-manufatto-tombotto-n-3-processo-id-003-07.html"</f>
        <v>https://portaletrasparenza.consorziobacchiglione.it/dettagli/attodigara/662/fornitura-e-posa-in-opera-di-tubo-corrugato-dn200-su-scolina-di-gronda-mediante-by-pass-del-manufatto-tombotto-n-3-processo-id-003-07.html</v>
      </c>
      <c r="U550" t="str">
        <f>""</f>
        <v/>
      </c>
      <c r="V55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51" spans="1:22" x14ac:dyDescent="0.3">
      <c r="A551" t="str">
        <f>"Affidamento"</f>
        <v>Affidamento</v>
      </c>
      <c r="B551" t="str">
        <f>"Corso accelerato CQC di 140 ore per il dipendente Consorziale Fuocolare Orazio"</f>
        <v>Corso accelerato CQC di 140 ore per il dipendente Consorziale Fuocolare Orazio</v>
      </c>
      <c r="C551" t="str">
        <f>"ZC21AE6967"</f>
        <v>ZC21AE6967</v>
      </c>
      <c r="D551" t="str">
        <f>"04/11/2021"</f>
        <v>04/11/2021</v>
      </c>
      <c r="E551" t="str">
        <f>""</f>
        <v/>
      </c>
      <c r="F551" t="str">
        <f>""</f>
        <v/>
      </c>
      <c r="G551" t="str">
        <f>"2054.34"</f>
        <v>2054.34</v>
      </c>
      <c r="H551" t="str">
        <f>"Consorzio di bonifica Bacchiglione"</f>
        <v>Consorzio di bonifica Bacchiglione</v>
      </c>
      <c r="I551" t="str">
        <f>"92223390284"</f>
        <v>92223390284</v>
      </c>
      <c r="J551" t="str">
        <f>"23-AFFIDAMENTO DIRETTO"</f>
        <v>23-AFFIDAMENTO DIRETTO</v>
      </c>
      <c r="K551" t="str">
        <f>"09/08/2021"</f>
        <v>09/08/2021</v>
      </c>
      <c r="L551" t="str">
        <f>"07/02/2021"</f>
        <v>07/02/2021</v>
      </c>
      <c r="M551" t="str">
        <f>""</f>
        <v/>
      </c>
      <c r="N551" t="str">
        <f>"Autoscuola Del Negro srl Via P.M. Kolbe 1E 35020 Ponte s.Nicolò PD"</f>
        <v>Autoscuola Del Negro srl Via P.M. Kolbe 1E 35020 Ponte s.Nicolò PD</v>
      </c>
      <c r="O551" t="str">
        <f>"Autoscuola Del Negro srl Via P.M. Kolbe 1E 35020 Ponte s.Nicolò PD"</f>
        <v>Autoscuola Del Negro srl Via P.M. Kolbe 1E 35020 Ponte s.Nicolò PD</v>
      </c>
      <c r="P551" t="str">
        <f>"ZC21AE6967: [0.00€ ]"</f>
        <v>ZC21AE6967: [0.00€ ]</v>
      </c>
      <c r="Q551" t="str">
        <f>""</f>
        <v/>
      </c>
      <c r="R551" t="str">
        <f>""</f>
        <v/>
      </c>
      <c r="S551" t="str">
        <f>""</f>
        <v/>
      </c>
      <c r="T551" t="str">
        <f>"https://portaletrasparenza.consorziobacchiglione.it/dettagli/attodigara/663/corso-accelerato-cqc-di-140-ore-per-il-dipendente-consorziale-fuocolare-orazio.html"</f>
        <v>https://portaletrasparenza.consorziobacchiglione.it/dettagli/attodigara/663/corso-accelerato-cqc-di-140-ore-per-il-dipendente-consorziale-fuocolare-orazio.html</v>
      </c>
      <c r="U551" t="str">
        <f>""</f>
        <v/>
      </c>
      <c r="V551">
        <f>(SUBSTITUTE(Tabella1[[#This Row],[Importo di aggiudicazione]],".",","))-(SUBSTITUTE(  SUBSTITUTE(          SUBSTITUTE(Tabella1[[#This Row],[Dettaglio somme liquidate]],Tabella1[[#This Row],[CIG]]&amp;": [",""),"€ ]",""),".",","))</f>
        <v>2054.34</v>
      </c>
    </row>
    <row r="552" spans="1:22" x14ac:dyDescent="0.3">
      <c r="A552" t="str">
        <f>"Affidamento"</f>
        <v>Affidamento</v>
      </c>
      <c r="B552" t="str">
        <f>"Manutenzione e riparazione mezzo con targa: AJ206BM"</f>
        <v>Manutenzione e riparazione mezzo con targa: AJ206BM</v>
      </c>
      <c r="C552" t="str">
        <f>"ZD432BA72C"</f>
        <v>ZD432BA72C</v>
      </c>
      <c r="D552" t="str">
        <f>"09/08/2021"</f>
        <v>09/08/2021</v>
      </c>
      <c r="E552" t="str">
        <f>""</f>
        <v/>
      </c>
      <c r="F552" t="str">
        <f>""</f>
        <v/>
      </c>
      <c r="G552" t="str">
        <f>"356.00"</f>
        <v>356.00</v>
      </c>
      <c r="H552" t="str">
        <f>"Consorzio di bonifica Bacchiglione"</f>
        <v>Consorzio di bonifica Bacchiglione</v>
      </c>
      <c r="I552" t="str">
        <f>"92223390284"</f>
        <v>92223390284</v>
      </c>
      <c r="J552" t="str">
        <f>"23-AFFIDAMENTO DIRETTO"</f>
        <v>23-AFFIDAMENTO DIRETTO</v>
      </c>
      <c r="K552" t="str">
        <f>"09/08/2021"</f>
        <v>09/08/2021</v>
      </c>
      <c r="L552" t="str">
        <f>"01/09/2021"</f>
        <v>01/09/2021</v>
      </c>
      <c r="M552" t="str">
        <f>""</f>
        <v/>
      </c>
      <c r="N552" t="str">
        <f>"Officina Autotreni Carraro Franco srl Via Gelsi 79 35028 Piove di Sacco PD"</f>
        <v>Officina Autotreni Carraro Franco srl Via Gelsi 79 35028 Piove di Sacco PD</v>
      </c>
      <c r="O552" t="str">
        <f>"Officina Autotreni Carraro Franco srl Via Gelsi 79 35028 Piove di Sacco PD"</f>
        <v>Officina Autotreni Carraro Franco srl Via Gelsi 79 35028 Piove di Sacco PD</v>
      </c>
      <c r="P552" t="str">
        <f>"ZD432BA72C: [356.00€ ]"</f>
        <v>ZD432BA72C: [356.00€ ]</v>
      </c>
      <c r="Q552" t="str">
        <f>""</f>
        <v/>
      </c>
      <c r="R552" t="str">
        <f>""</f>
        <v/>
      </c>
      <c r="S552" t="str">
        <f>""</f>
        <v/>
      </c>
      <c r="T552" t="str">
        <f>"https://portaletrasparenza.consorziobacchiglione.it/dettagli/attodigara/7065/manutenzione-e-riparazione-mezzo-con-targa-aj206bm.html"</f>
        <v>https://portaletrasparenza.consorziobacchiglione.it/dettagli/attodigara/7065/manutenzione-e-riparazione-mezzo-con-targa-aj206bm.html</v>
      </c>
      <c r="U552" t="str">
        <f>"https://portaletrasparenza.consorziobacchiglione.it/download/attodigara/7065/63ac45b4d28d8.PDF"</f>
        <v>https://portaletrasparenza.consorziobacchiglione.it/download/attodigara/7065/63ac45b4d28d8.PDF</v>
      </c>
      <c r="V5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53" spans="1:22" x14ac:dyDescent="0.3">
      <c r="A553" t="str">
        <f>"Affidamento"</f>
        <v>Affidamento</v>
      </c>
      <c r="B553" t="str">
        <f>"Riparazione anomalia chiller con ripristino gruppo frigo presso sito museale S.Margherita"</f>
        <v>Riparazione anomalia chiller con ripristino gruppo frigo presso sito museale S.Margherita</v>
      </c>
      <c r="C553" t="str">
        <f>"Z0B32BA3FB"</f>
        <v>Z0B32BA3FB</v>
      </c>
      <c r="D553" t="str">
        <f>"09/08/2021"</f>
        <v>09/08/2021</v>
      </c>
      <c r="E553" t="str">
        <f>""</f>
        <v/>
      </c>
      <c r="F553" t="str">
        <f>""</f>
        <v/>
      </c>
      <c r="G553" t="str">
        <f>"580.00"</f>
        <v>580.00</v>
      </c>
      <c r="H553" t="str">
        <f>"Consorzio di bonifica Bacchiglione"</f>
        <v>Consorzio di bonifica Bacchiglione</v>
      </c>
      <c r="I553" t="str">
        <f>"92223390284"</f>
        <v>92223390284</v>
      </c>
      <c r="J553" t="str">
        <f>"23-AFFIDAMENTO DIRETTO"</f>
        <v>23-AFFIDAMENTO DIRETTO</v>
      </c>
      <c r="K553" t="str">
        <f>"09/08/2021"</f>
        <v>09/08/2021</v>
      </c>
      <c r="L553" t="str">
        <f>"28/09/2021"</f>
        <v>28/09/2021</v>
      </c>
      <c r="M553" t="str">
        <f>""</f>
        <v/>
      </c>
      <c r="N553" t="str">
        <f>"Giraldo Impianti SNC di Giraldo Danilo e Silvio Via Flli Cervi 1-II 30010 Campolongo Maggiore VE"</f>
        <v>Giraldo Impianti SNC di Giraldo Danilo e Silvio Via Flli Cervi 1-II 30010 Campolongo Maggiore VE</v>
      </c>
      <c r="O553" t="str">
        <f>"Giraldo Impianti SNC di Giraldo Danilo e Silvio Via Flli Cervi 1-II 30010 Campolongo Maggiore VE"</f>
        <v>Giraldo Impianti SNC di Giraldo Danilo e Silvio Via Flli Cervi 1-II 30010 Campolongo Maggiore VE</v>
      </c>
      <c r="P553" t="str">
        <f>"Z0B32BA3FB: [580.00€ ]"</f>
        <v>Z0B32BA3FB: [580.00€ ]</v>
      </c>
      <c r="Q553" t="str">
        <f>""</f>
        <v/>
      </c>
      <c r="R553" t="str">
        <f>""</f>
        <v/>
      </c>
      <c r="S553" t="str">
        <f>""</f>
        <v/>
      </c>
      <c r="T553" t="str">
        <f>"https://portaletrasparenza.consorziobacchiglione.it/dettagli/attodigara/7064/riparazione-anomalia-chiller-con-ripristino-gruppo-frigo-presso-sito-museale-s-margherita.html"</f>
        <v>https://portaletrasparenza.consorziobacchiglione.it/dettagli/attodigara/7064/riparazione-anomalia-chiller-con-ripristino-gruppo-frigo-presso-sito-museale-s-margherita.html</v>
      </c>
      <c r="U553" t="str">
        <f>"https://portaletrasparenza.consorziobacchiglione.it/download/attodigara/7064/63ac45b499b9f.PDF"</f>
        <v>https://portaletrasparenza.consorziobacchiglione.it/download/attodigara/7064/63ac45b499b9f.PDF</v>
      </c>
      <c r="V5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54" spans="1:22" x14ac:dyDescent="0.3">
      <c r="A554" t="str">
        <f>"Affidamento"</f>
        <v>Affidamento</v>
      </c>
      <c r="B554" t="str">
        <f>"Manutenzione impianto irrigazione presso C.O.S.Margherita"</f>
        <v>Manutenzione impianto irrigazione presso C.O.S.Margherita</v>
      </c>
      <c r="C554" t="str">
        <f>"Z8632BB66D"</f>
        <v>Z8632BB66D</v>
      </c>
      <c r="D554" t="str">
        <f>"11/08/2021"</f>
        <v>11/08/2021</v>
      </c>
      <c r="E554" t="str">
        <f>""</f>
        <v/>
      </c>
      <c r="F554" t="str">
        <f>""</f>
        <v/>
      </c>
      <c r="G554" t="str">
        <f>"902.00"</f>
        <v>902.00</v>
      </c>
      <c r="H554" t="str">
        <f>"Consorzio di bonifica Bacchiglione"</f>
        <v>Consorzio di bonifica Bacchiglione</v>
      </c>
      <c r="I554" t="str">
        <f>"92223390284"</f>
        <v>92223390284</v>
      </c>
      <c r="J554" t="str">
        <f>"23-AFFIDAMENTO DIRETTO"</f>
        <v>23-AFFIDAMENTO DIRETTO</v>
      </c>
      <c r="K554" t="str">
        <f>"09/08/2021"</f>
        <v>09/08/2021</v>
      </c>
      <c r="L554" t="str">
        <f>"29/09/2021"</f>
        <v>29/09/2021</v>
      </c>
      <c r="M554" t="str">
        <f>""</f>
        <v/>
      </c>
      <c r="N554" t="str">
        <f>"Zanella Andrea Via quattrocà 9 35010 Vigonza PD"</f>
        <v>Zanella Andrea Via quattrocà 9 35010 Vigonza PD</v>
      </c>
      <c r="O554" t="str">
        <f>"Zanella Andrea Via quattrocà 9 35010 Vigonza PD"</f>
        <v>Zanella Andrea Via quattrocà 9 35010 Vigonza PD</v>
      </c>
      <c r="P554" t="str">
        <f>"Z8632BB66D: [902.00€ ]"</f>
        <v>Z8632BB66D: [902.00€ ]</v>
      </c>
      <c r="Q554" t="str">
        <f>""</f>
        <v/>
      </c>
      <c r="R554" t="str">
        <f>""</f>
        <v/>
      </c>
      <c r="S554" t="str">
        <f>""</f>
        <v/>
      </c>
      <c r="T554" t="str">
        <f>"https://portaletrasparenza.consorziobacchiglione.it/dettagli/attodigara/7066/manutenzione-impianto-irrigazione-presso-c-o-s-margherita.html"</f>
        <v>https://portaletrasparenza.consorziobacchiglione.it/dettagli/attodigara/7066/manutenzione-impianto-irrigazione-presso-c-o-s-margherita.html</v>
      </c>
      <c r="U554" t="str">
        <f>"https://portaletrasparenza.consorziobacchiglione.it/download/attodigara/7066/63ac45b5176c1.PDF"</f>
        <v>https://portaletrasparenza.consorziobacchiglione.it/download/attodigara/7066/63ac45b5176c1.PDF</v>
      </c>
      <c r="V5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55" spans="1:22" x14ac:dyDescent="0.3">
      <c r="A555" t="str">
        <f>"Affidamento"</f>
        <v>Affidamento</v>
      </c>
      <c r="B555" t="str">
        <f>"Fornitura materiale elettrico per Bacino Sesta Presa."</f>
        <v>Fornitura materiale elettrico per Bacino Sesta Presa.</v>
      </c>
      <c r="C555" t="str">
        <f>"ZA51B217A9"</f>
        <v>ZA51B217A9</v>
      </c>
      <c r="D555" t="str">
        <f>"04/11/2021"</f>
        <v>04/11/2021</v>
      </c>
      <c r="E555" t="str">
        <f>""</f>
        <v/>
      </c>
      <c r="F555" t="str">
        <f>""</f>
        <v/>
      </c>
      <c r="G555" t="str">
        <f>"567.27"</f>
        <v>567.27</v>
      </c>
      <c r="H555" t="str">
        <f>"Consorzio di bonifica Bacchiglione"</f>
        <v>Consorzio di bonifica Bacchiglione</v>
      </c>
      <c r="I555" t="str">
        <f>"92223390284"</f>
        <v>92223390284</v>
      </c>
      <c r="J555" t="str">
        <f>"23-AFFIDAMENTO DIRETTO"</f>
        <v>23-AFFIDAMENTO DIRETTO</v>
      </c>
      <c r="K555" t="str">
        <f>"09/09/2021"</f>
        <v>09/09/2021</v>
      </c>
      <c r="L555" t="str">
        <f>"09/11/2021"</f>
        <v>09/11/2021</v>
      </c>
      <c r="M555" t="str">
        <f>""</f>
        <v/>
      </c>
      <c r="N555" t="str">
        <f>"Elettroveneta S.p.A. Viale della Navigazione Interna, 48 - 35129 Padova (PD)"</f>
        <v>Elettroveneta S.p.A. Viale della Navigazione Interna, 48 - 35129 Padova (PD)</v>
      </c>
      <c r="O555" t="str">
        <f>"Elettroveneta S.p.A. Viale della Navigazione Interna, 48 - 35129 Padova (PD)"</f>
        <v>Elettroveneta S.p.A. Viale della Navigazione Interna, 48 - 35129 Padova (PD)</v>
      </c>
      <c r="P555" t="str">
        <f>"ZA51B217A9: [567.27€ ]"</f>
        <v>ZA51B217A9: [567.27€ ]</v>
      </c>
      <c r="Q555" t="str">
        <f>""</f>
        <v/>
      </c>
      <c r="R555" t="str">
        <f>""</f>
        <v/>
      </c>
      <c r="S555" t="str">
        <f>""</f>
        <v/>
      </c>
      <c r="T555" t="str">
        <f>"https://portaletrasparenza.consorziobacchiglione.it/dettagli/attodigara/729/fornitura-materiale-elettrico-per-bacino-sesta-presa.html"</f>
        <v>https://portaletrasparenza.consorziobacchiglione.it/dettagli/attodigara/729/fornitura-materiale-elettrico-per-bacino-sesta-presa.html</v>
      </c>
      <c r="U555" t="str">
        <f>""</f>
        <v/>
      </c>
      <c r="V5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56" spans="1:22" x14ac:dyDescent="0.3">
      <c r="A556" t="str">
        <f>"Affidamento"</f>
        <v>Affidamento</v>
      </c>
      <c r="B556" t="str">
        <f>"Riparazione lame per motobarca n 7 / 8 bacino Pratiarcati."</f>
        <v>Riparazione lame per motobarca n 7 / 8 bacino Pratiarcati.</v>
      </c>
      <c r="C556" t="str">
        <f>"Z051B215B7"</f>
        <v>Z051B215B7</v>
      </c>
      <c r="D556" t="str">
        <f>"04/11/2021"</f>
        <v>04/11/2021</v>
      </c>
      <c r="E556" t="str">
        <f>""</f>
        <v/>
      </c>
      <c r="F556" t="str">
        <f>""</f>
        <v/>
      </c>
      <c r="G556" t="str">
        <f>"780.00"</f>
        <v>780.00</v>
      </c>
      <c r="H556" t="str">
        <f>"Consorzio di bonifica Bacchiglione"</f>
        <v>Consorzio di bonifica Bacchiglione</v>
      </c>
      <c r="I556" t="str">
        <f>"92223390284"</f>
        <v>92223390284</v>
      </c>
      <c r="J556" t="str">
        <f>"23-AFFIDAMENTO DIRETTO"</f>
        <v>23-AFFIDAMENTO DIRETTO</v>
      </c>
      <c r="K556" t="str">
        <f>"09/09/2021"</f>
        <v>09/09/2021</v>
      </c>
      <c r="L556" t="str">
        <f>"27/10/2021"</f>
        <v>27/10/2021</v>
      </c>
      <c r="M556" t="str">
        <f>""</f>
        <v/>
      </c>
      <c r="N556" t="str">
        <f>"ZEMI s.a.s. di Zanotto Enzo di Ruzzante Dorina Via E. Mattei 7 35020 Due Carrare PD"</f>
        <v>ZEMI s.a.s. di Zanotto Enzo di Ruzzante Dorina Via E. Mattei 7 35020 Due Carrare PD</v>
      </c>
      <c r="O556" t="str">
        <f>"ZEMI s.a.s. di Zanotto Enzo di Ruzzante Dorina Via E. Mattei 7 35020 Due Carrare PD"</f>
        <v>ZEMI s.a.s. di Zanotto Enzo di Ruzzante Dorina Via E. Mattei 7 35020 Due Carrare PD</v>
      </c>
      <c r="P556" t="str">
        <f>"Z051B215B7: [780.00€ ]"</f>
        <v>Z051B215B7: [780.00€ ]</v>
      </c>
      <c r="Q556" t="str">
        <f>""</f>
        <v/>
      </c>
      <c r="R556" t="str">
        <f>""</f>
        <v/>
      </c>
      <c r="S556" t="str">
        <f>""</f>
        <v/>
      </c>
      <c r="T556" t="str">
        <f>"https://portaletrasparenza.consorziobacchiglione.it/dettagli/attodigara/728/riparazione-lame-per-motobarca-n-7-8-bacino-pratiarcati.html"</f>
        <v>https://portaletrasparenza.consorziobacchiglione.it/dettagli/attodigara/728/riparazione-lame-per-motobarca-n-7-8-bacino-pratiarcati.html</v>
      </c>
      <c r="U556" t="str">
        <f>""</f>
        <v/>
      </c>
      <c r="V55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57" spans="1:22" x14ac:dyDescent="0.3">
      <c r="A557" t="str">
        <f>"Affidamento"</f>
        <v>Affidamento</v>
      </c>
      <c r="B557" t="str">
        <f>"Fornitura materiale edile per lavori su Idrovora Vaso Cavaizze."</f>
        <v>Fornitura materiale edile per lavori su Idrovora Vaso Cavaizze.</v>
      </c>
      <c r="C557" t="str">
        <f>"ZA11B2149F"</f>
        <v>ZA11B2149F</v>
      </c>
      <c r="D557" t="str">
        <f>"04/11/2021"</f>
        <v>04/11/2021</v>
      </c>
      <c r="E557" t="str">
        <f>""</f>
        <v/>
      </c>
      <c r="F557" t="str">
        <f>""</f>
        <v/>
      </c>
      <c r="G557" t="str">
        <f>"2326.21"</f>
        <v>2326.21</v>
      </c>
      <c r="H557" t="str">
        <f>"Consorzio di bonifica Bacchiglione"</f>
        <v>Consorzio di bonifica Bacchiglione</v>
      </c>
      <c r="I557" t="str">
        <f>"92223390284"</f>
        <v>92223390284</v>
      </c>
      <c r="J557" t="str">
        <f>"23-AFFIDAMENTO DIRETTO"</f>
        <v>23-AFFIDAMENTO DIRETTO</v>
      </c>
      <c r="K557" t="str">
        <f>"09/09/2021"</f>
        <v>09/09/2021</v>
      </c>
      <c r="L557" t="str">
        <f>"27/10/2021"</f>
        <v>27/10/2021</v>
      </c>
      <c r="M557" t="str">
        <f>""</f>
        <v/>
      </c>
      <c r="N557" t="str">
        <f>"Idronord s.r.l. Via delle Industrie 3C 30036 Santa Maria Di Sala VE"</f>
        <v>Idronord s.r.l. Via delle Industrie 3C 30036 Santa Maria Di Sala VE</v>
      </c>
      <c r="O557" t="str">
        <f>"Idronord s.r.l. Via delle Industrie 3C 30036 Santa Maria Di Sala VE"</f>
        <v>Idronord s.r.l. Via delle Industrie 3C 30036 Santa Maria Di Sala VE</v>
      </c>
      <c r="P557" t="str">
        <f>"ZA11B2149F: [2326.21€ ]"</f>
        <v>ZA11B2149F: [2326.21€ ]</v>
      </c>
      <c r="Q557" t="str">
        <f>""</f>
        <v/>
      </c>
      <c r="R557" t="str">
        <f>""</f>
        <v/>
      </c>
      <c r="S557" t="str">
        <f>""</f>
        <v/>
      </c>
      <c r="T557" t="str">
        <f>"https://portaletrasparenza.consorziobacchiglione.it/dettagli/attodigara/727/fornitura-materiale-edile-per-lavori-su-idrovora-vaso-cavaizze.html"</f>
        <v>https://portaletrasparenza.consorziobacchiglione.it/dettagli/attodigara/727/fornitura-materiale-edile-per-lavori-su-idrovora-vaso-cavaizze.html</v>
      </c>
      <c r="U557" t="str">
        <f>""</f>
        <v/>
      </c>
      <c r="V55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58" spans="1:22" x14ac:dyDescent="0.3">
      <c r="A558" t="str">
        <f>"Affidamento"</f>
        <v>Affidamento</v>
      </c>
      <c r="B558" t="str">
        <f>"Lavori di diserbo con Glifosate su roggia in via Frignolo zona Conche di Codevigo."</f>
        <v>Lavori di diserbo con Glifosate su roggia in via Frignolo zona Conche di Codevigo.</v>
      </c>
      <c r="C558" t="str">
        <f>"Z871B2137F"</f>
        <v>Z871B2137F</v>
      </c>
      <c r="D558" t="str">
        <f>"04/11/2021"</f>
        <v>04/11/2021</v>
      </c>
      <c r="E558" t="str">
        <f>""</f>
        <v/>
      </c>
      <c r="F558" t="str">
        <f>""</f>
        <v/>
      </c>
      <c r="G558" t="str">
        <f>"350.00"</f>
        <v>350.00</v>
      </c>
      <c r="H558" t="str">
        <f>"Consorzio di bonifica Bacchiglione"</f>
        <v>Consorzio di bonifica Bacchiglione</v>
      </c>
      <c r="I558" t="str">
        <f>"92223390284"</f>
        <v>92223390284</v>
      </c>
      <c r="J558" t="str">
        <f>"23-AFFIDAMENTO DIRETTO"</f>
        <v>23-AFFIDAMENTO DIRETTO</v>
      </c>
      <c r="K558" t="str">
        <f>"09/09/2021"</f>
        <v>09/09/2021</v>
      </c>
      <c r="L558" t="str">
        <f>"09/11/2021"</f>
        <v>09/11/2021</v>
      </c>
      <c r="M558" t="str">
        <f>""</f>
        <v/>
      </c>
      <c r="N558" t="str">
        <f>"Viale Valter Via 1° Maggio 124 30010 Campagna Lupia VE"</f>
        <v>Viale Valter Via 1° Maggio 124 30010 Campagna Lupia VE</v>
      </c>
      <c r="O558" t="str">
        <f>"Viale Valter Via 1° Maggio 124 30010 Campagna Lupia VE"</f>
        <v>Viale Valter Via 1° Maggio 124 30010 Campagna Lupia VE</v>
      </c>
      <c r="P558" t="str">
        <f>"Z871B2137F: [350.00€ ]"</f>
        <v>Z871B2137F: [350.00€ ]</v>
      </c>
      <c r="Q558" t="str">
        <f>""</f>
        <v/>
      </c>
      <c r="R558" t="str">
        <f>""</f>
        <v/>
      </c>
      <c r="S558" t="str">
        <f>""</f>
        <v/>
      </c>
      <c r="T558" t="str">
        <f>"https://portaletrasparenza.consorziobacchiglione.it/dettagli/attodigara/726/lavori-di-diserbo-con-glifosate-su-roggia-in-via-frignolo-zona-conche-di-codevigo.html"</f>
        <v>https://portaletrasparenza.consorziobacchiglione.it/dettagli/attodigara/726/lavori-di-diserbo-con-glifosate-su-roggia-in-via-frignolo-zona-conche-di-codevigo.html</v>
      </c>
      <c r="U558" t="str">
        <f>""</f>
        <v/>
      </c>
      <c r="V5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59" spans="1:22" x14ac:dyDescent="0.3">
      <c r="A559" t="str">
        <f>"Affidamento"</f>
        <v>Affidamento</v>
      </c>
      <c r="B559" t="str">
        <f>"Noleggio vibroinfissore piantapalo Furukawa per lavori scolo Rialto."</f>
        <v>Noleggio vibroinfissore piantapalo Furukawa per lavori scolo Rialto.</v>
      </c>
      <c r="C559" t="str">
        <f>"Z381B211D0"</f>
        <v>Z381B211D0</v>
      </c>
      <c r="D559" t="str">
        <f>"04/11/2021"</f>
        <v>04/11/2021</v>
      </c>
      <c r="E559" t="str">
        <f>""</f>
        <v/>
      </c>
      <c r="F559" t="str">
        <f>""</f>
        <v/>
      </c>
      <c r="G559" t="str">
        <f>"480.00"</f>
        <v>480.00</v>
      </c>
      <c r="H559" t="str">
        <f>"Consorzio di bonifica Bacchiglione"</f>
        <v>Consorzio di bonifica Bacchiglione</v>
      </c>
      <c r="I559" t="str">
        <f>"92223390284"</f>
        <v>92223390284</v>
      </c>
      <c r="J559" t="str">
        <f>"23-AFFIDAMENTO DIRETTO"</f>
        <v>23-AFFIDAMENTO DIRETTO</v>
      </c>
      <c r="K559" t="str">
        <f>"09/09/2021"</f>
        <v>09/09/2021</v>
      </c>
      <c r="L559" t="str">
        <f>"05/10/2021"</f>
        <v>05/10/2021</v>
      </c>
      <c r="M559" t="str">
        <f>""</f>
        <v/>
      </c>
      <c r="N559" t="str">
        <f>"Sorme s.n.c. Via Monache 21 35030 Selvazzano Dentro PD"</f>
        <v>Sorme s.n.c. Via Monache 21 35030 Selvazzano Dentro PD</v>
      </c>
      <c r="O559" t="str">
        <f>"Sorme s.n.c. Via Monache 21 35030 Selvazzano Dentro PD"</f>
        <v>Sorme s.n.c. Via Monache 21 35030 Selvazzano Dentro PD</v>
      </c>
      <c r="P559" t="str">
        <f>"Z381B211D0: [480.00€ ]"</f>
        <v>Z381B211D0: [480.00€ ]</v>
      </c>
      <c r="Q559" t="str">
        <f>""</f>
        <v/>
      </c>
      <c r="R559" t="str">
        <f>""</f>
        <v/>
      </c>
      <c r="S559" t="str">
        <f>""</f>
        <v/>
      </c>
      <c r="T559" t="str">
        <f>"https://portaletrasparenza.consorziobacchiglione.it/dettagli/attodigara/725/noleggio-vibroinfissore-piantapalo-furukawa-per-lavori-scolo-rialto.html"</f>
        <v>https://portaletrasparenza.consorziobacchiglione.it/dettagli/attodigara/725/noleggio-vibroinfissore-piantapalo-furukawa-per-lavori-scolo-rialto.html</v>
      </c>
      <c r="U559" t="str">
        <f>""</f>
        <v/>
      </c>
      <c r="V55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60" spans="1:22" x14ac:dyDescent="0.3">
      <c r="A560" t="str">
        <f>"Affidamento"</f>
        <v>Affidamento</v>
      </c>
      <c r="B560" t="str">
        <f>"Fornitura DVD e depliant per sede Consorziale."</f>
        <v>Fornitura DVD e depliant per sede Consorziale.</v>
      </c>
      <c r="C560" t="str">
        <f>"ZED1B1F71A"</f>
        <v>ZED1B1F71A</v>
      </c>
      <c r="D560" t="str">
        <f>"04/11/2021"</f>
        <v>04/11/2021</v>
      </c>
      <c r="E560" t="str">
        <f>""</f>
        <v/>
      </c>
      <c r="F560" t="str">
        <f>""</f>
        <v/>
      </c>
      <c r="G560" t="str">
        <f>"760.00"</f>
        <v>760.00</v>
      </c>
      <c r="H560" t="str">
        <f>"Consorzio di bonifica Bacchiglione"</f>
        <v>Consorzio di bonifica Bacchiglione</v>
      </c>
      <c r="I560" t="str">
        <f>"92223390284"</f>
        <v>92223390284</v>
      </c>
      <c r="J560" t="str">
        <f>"23-AFFIDAMENTO DIRETTO"</f>
        <v>23-AFFIDAMENTO DIRETTO</v>
      </c>
      <c r="K560" t="str">
        <f>"09/09/2021"</f>
        <v>09/09/2021</v>
      </c>
      <c r="L560" t="str">
        <f>"06/12/2021"</f>
        <v>06/12/2021</v>
      </c>
      <c r="M560" t="str">
        <f>""</f>
        <v/>
      </c>
      <c r="N560" t="str">
        <f>"Centro Copie Berchet s.a.s. Via E. degli Scrovegni 27 35131 Padova"</f>
        <v>Centro Copie Berchet s.a.s. Via E. degli Scrovegni 27 35131 Padova</v>
      </c>
      <c r="O560" t="str">
        <f>"Centro Copie Berchet s.a.s. Via E. degli Scrovegni 27 35131 Padova"</f>
        <v>Centro Copie Berchet s.a.s. Via E. degli Scrovegni 27 35131 Padova</v>
      </c>
      <c r="P560" t="str">
        <f>"ZED1B1F71A: [760.00€ ]"</f>
        <v>ZED1B1F71A: [760.00€ ]</v>
      </c>
      <c r="Q560" t="str">
        <f>""</f>
        <v/>
      </c>
      <c r="R560" t="str">
        <f>""</f>
        <v/>
      </c>
      <c r="S560" t="str">
        <f>""</f>
        <v/>
      </c>
      <c r="T560" t="str">
        <f>"https://portaletrasparenza.consorziobacchiglione.it/dettagli/attodigara/722/fornitura-dvd-e-depliant-per-sede-consorziale.html"</f>
        <v>https://portaletrasparenza.consorziobacchiglione.it/dettagli/attodigara/722/fornitura-dvd-e-depliant-per-sede-consorziale.html</v>
      </c>
      <c r="U560" t="str">
        <f>""</f>
        <v/>
      </c>
      <c r="V5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61" spans="1:22" x14ac:dyDescent="0.3">
      <c r="A561" t="str">
        <f>"Affidamento"</f>
        <v>Affidamento</v>
      </c>
      <c r="B561" t="str">
        <f>"Servizio di catering presso C.O.S.Margherita."</f>
        <v>Servizio di catering presso C.O.S.Margherita.</v>
      </c>
      <c r="C561" t="str">
        <f>"Z6B1B20902"</f>
        <v>Z6B1B20902</v>
      </c>
      <c r="D561" t="str">
        <f>"04/11/2021"</f>
        <v>04/11/2021</v>
      </c>
      <c r="E561" t="str">
        <f>""</f>
        <v/>
      </c>
      <c r="F561" t="str">
        <f>""</f>
        <v/>
      </c>
      <c r="G561" t="str">
        <f>"456.50"</f>
        <v>456.50</v>
      </c>
      <c r="H561" t="str">
        <f>"Consorzio di bonifica Bacchiglione"</f>
        <v>Consorzio di bonifica Bacchiglione</v>
      </c>
      <c r="I561" t="str">
        <f>"92223390284"</f>
        <v>92223390284</v>
      </c>
      <c r="J561" t="str">
        <f>"23-AFFIDAMENTO DIRETTO"</f>
        <v>23-AFFIDAMENTO DIRETTO</v>
      </c>
      <c r="K561" t="str">
        <f>"09/09/2021"</f>
        <v>09/09/2021</v>
      </c>
      <c r="L561" t="str">
        <f>"30/09/2021"</f>
        <v>30/09/2021</v>
      </c>
      <c r="M561" t="str">
        <f>""</f>
        <v/>
      </c>
      <c r="N561" t="str">
        <f>"Past.Gelbar tipo B Marisa - Mozzato via Umberto I 104 35020 Arzergrande PD"</f>
        <v>Past.Gelbar tipo B Marisa - Mozzato via Umberto I 104 35020 Arzergrande PD</v>
      </c>
      <c r="O561" t="str">
        <f>"Past.Gelbar tipo B Marisa - Mozzato via Umberto I 104 35020 Arzergrande PD"</f>
        <v>Past.Gelbar tipo B Marisa - Mozzato via Umberto I 104 35020 Arzergrande PD</v>
      </c>
      <c r="P561" t="str">
        <f>"Z6B1B20902: [333.14€ ]"</f>
        <v>Z6B1B20902: [333.14€ ]</v>
      </c>
      <c r="Q561" t="str">
        <f>""</f>
        <v/>
      </c>
      <c r="R561" t="str">
        <f>""</f>
        <v/>
      </c>
      <c r="S561" t="str">
        <f>""</f>
        <v/>
      </c>
      <c r="T561" t="str">
        <f>"https://portaletrasparenza.consorziobacchiglione.it/dettagli/attodigara/724/servizio-di-catering-presso-c-o-s-margherita.html"</f>
        <v>https://portaletrasparenza.consorziobacchiglione.it/dettagli/attodigara/724/servizio-di-catering-presso-c-o-s-margherita.html</v>
      </c>
      <c r="U561" t="str">
        <f>""</f>
        <v/>
      </c>
      <c r="V561">
        <f>(SUBSTITUTE(Tabella1[[#This Row],[Importo di aggiudicazione]],".",","))-(SUBSTITUTE(  SUBSTITUTE(          SUBSTITUTE(Tabella1[[#This Row],[Dettaglio somme liquidate]],Tabella1[[#This Row],[CIG]]&amp;": [",""),"€ ]",""),".",","))</f>
        <v>123.36000000000001</v>
      </c>
    </row>
    <row r="562" spans="1:22" x14ac:dyDescent="0.3">
      <c r="A562" t="str">
        <f>"Affidamento"</f>
        <v>Affidamento</v>
      </c>
      <c r="B562" t="str">
        <f>"Fornitura n. 30 cavalletti porta pannelli per manifestazioni."</f>
        <v>Fornitura n. 30 cavalletti porta pannelli per manifestazioni.</v>
      </c>
      <c r="C562" t="str">
        <f>"ZE61B1FC14"</f>
        <v>ZE61B1FC14</v>
      </c>
      <c r="D562" t="str">
        <f>"04/11/2021"</f>
        <v>04/11/2021</v>
      </c>
      <c r="E562" t="str">
        <f>""</f>
        <v/>
      </c>
      <c r="F562" t="str">
        <f>""</f>
        <v/>
      </c>
      <c r="G562" t="str">
        <f>"1430.73"</f>
        <v>1430.73</v>
      </c>
      <c r="H562" t="str">
        <f>"Consorzio di bonifica Bacchiglione"</f>
        <v>Consorzio di bonifica Bacchiglione</v>
      </c>
      <c r="I562" t="str">
        <f>"92223390284"</f>
        <v>92223390284</v>
      </c>
      <c r="J562" t="str">
        <f>"23-AFFIDAMENTO DIRETTO"</f>
        <v>23-AFFIDAMENTO DIRETTO</v>
      </c>
      <c r="K562" t="str">
        <f>"09/09/2021"</f>
        <v>09/09/2021</v>
      </c>
      <c r="L562" t="str">
        <f>"09/11/2021"</f>
        <v>09/11/2021</v>
      </c>
      <c r="M562" t="str">
        <f>""</f>
        <v/>
      </c>
      <c r="N562" t="str">
        <f>"Ruzzon Maurizio Via Vittorio Emanuele III 101 35020 Codevigo PD"</f>
        <v>Ruzzon Maurizio Via Vittorio Emanuele III 101 35020 Codevigo PD</v>
      </c>
      <c r="O562" t="str">
        <f>"Ruzzon Maurizio Via Vittorio Emanuele III 101 35020 Codevigo PD"</f>
        <v>Ruzzon Maurizio Via Vittorio Emanuele III 101 35020 Codevigo PD</v>
      </c>
      <c r="P562" t="str">
        <f>"ZE61B1FC14: [1290.00€ ]"</f>
        <v>ZE61B1FC14: [1290.00€ ]</v>
      </c>
      <c r="Q562" t="str">
        <f>""</f>
        <v/>
      </c>
      <c r="R562" t="str">
        <f>""</f>
        <v/>
      </c>
      <c r="S562" t="str">
        <f>""</f>
        <v/>
      </c>
      <c r="T562" t="str">
        <f>"https://portaletrasparenza.consorziobacchiglione.it/dettagli/attodigara/723/fornitura-n-30-cavalletti-porta-pannelli-per-manifestazioni.html"</f>
        <v>https://portaletrasparenza.consorziobacchiglione.it/dettagli/attodigara/723/fornitura-n-30-cavalletti-porta-pannelli-per-manifestazioni.html</v>
      </c>
      <c r="U562" t="str">
        <f>""</f>
        <v/>
      </c>
      <c r="V562">
        <f>(SUBSTITUTE(Tabella1[[#This Row],[Importo di aggiudicazione]],".",","))-(SUBSTITUTE(  SUBSTITUTE(          SUBSTITUTE(Tabella1[[#This Row],[Dettaglio somme liquidate]],Tabella1[[#This Row],[CIG]]&amp;": [",""),"€ ]",""),".",","))</f>
        <v>140.73000000000002</v>
      </c>
    </row>
    <row r="563" spans="1:22" x14ac:dyDescent="0.3">
      <c r="A563" t="str">
        <f>"Affidamento"</f>
        <v>Affidamento</v>
      </c>
      <c r="B563" t="str">
        <f>"Trasporto escavatore cingolato Hitachi 90 q.li da Idrovora Trezze a scolo Altipiano"</f>
        <v>Trasporto escavatore cingolato Hitachi 90 q.li da Idrovora Trezze a scolo Altipiano</v>
      </c>
      <c r="C563" t="str">
        <f>"Z423362586"</f>
        <v>Z423362586</v>
      </c>
      <c r="D563" t="str">
        <f>"13/10/2021"</f>
        <v>13/10/2021</v>
      </c>
      <c r="E563" t="str">
        <f>""</f>
        <v/>
      </c>
      <c r="F563" t="str">
        <f>""</f>
        <v/>
      </c>
      <c r="G563" t="str">
        <f>"150.00"</f>
        <v>150.00</v>
      </c>
      <c r="H563" t="str">
        <f>"Consorzio di bonifica Bacchiglione"</f>
        <v>Consorzio di bonifica Bacchiglione</v>
      </c>
      <c r="I563" t="str">
        <f>"92223390284"</f>
        <v>92223390284</v>
      </c>
      <c r="J563" t="str">
        <f>"23-AFFIDAMENTO DIRETTO"</f>
        <v>23-AFFIDAMENTO DIRETTO</v>
      </c>
      <c r="K563" t="str">
        <f>"09/10/2021"</f>
        <v>09/10/2021</v>
      </c>
      <c r="L563" t="str">
        <f>"25/10/2021"</f>
        <v>25/10/2021</v>
      </c>
      <c r="M563" t="str">
        <f>""</f>
        <v/>
      </c>
      <c r="N563" t="str">
        <f>"Trovò s.r.l. Via Idrovora, 3 - 35020 Codevigo (PD)"</f>
        <v>Trovò s.r.l. Via Idrovora, 3 - 35020 Codevigo (PD)</v>
      </c>
      <c r="O563" t="str">
        <f>"Trovò s.r.l. Via Idrovora, 3 - 35020 Codevigo (PD)"</f>
        <v>Trovò s.r.l. Via Idrovora, 3 - 35020 Codevigo (PD)</v>
      </c>
      <c r="P563" t="s">
        <v>309</v>
      </c>
      <c r="Q563" t="str">
        <f>""</f>
        <v/>
      </c>
      <c r="R563" t="str">
        <f>""</f>
        <v/>
      </c>
      <c r="S563" t="str">
        <f>""</f>
        <v/>
      </c>
      <c r="T563" t="str">
        <f>"https://portaletrasparenza.consorziobacchiglione.it/dettagli/attodigara/7205/trasporto-escavatore-cingolato-hitachi-90-q-li-da-idrovora-trezze-a-scolo-altipiano.html"</f>
        <v>https://portaletrasparenza.consorziobacchiglione.it/dettagli/attodigara/7205/trasporto-escavatore-cingolato-hitachi-90-q-li-da-idrovora-trezze-a-scolo-altipiano.html</v>
      </c>
      <c r="U563" t="str">
        <f>"https://portaletrasparenza.consorziobacchiglione.it/download/attodigara/7205/63ac45d8b4d2b.PDF"</f>
        <v>https://portaletrasparenza.consorziobacchiglione.it/download/attodigara/7205/63ac45d8b4d2b.PDF</v>
      </c>
      <c r="V5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64" spans="1:22" x14ac:dyDescent="0.3">
      <c r="A564" t="str">
        <f>"Affidamento"</f>
        <v>Affidamento</v>
      </c>
      <c r="B564" t="str">
        <f>"Fornitura autocarro leggero con grù (ID-030-16)."</f>
        <v>Fornitura autocarro leggero con grù (ID-030-16).</v>
      </c>
      <c r="C564" t="str">
        <f>"ZBD1BF55BA"</f>
        <v>ZBD1BF55BA</v>
      </c>
      <c r="D564" t="str">
        <f>"04/11/2021"</f>
        <v>04/11/2021</v>
      </c>
      <c r="E564" t="str">
        <f>""</f>
        <v/>
      </c>
      <c r="F564" t="str">
        <f>""</f>
        <v/>
      </c>
      <c r="G564" t="str">
        <f>"39860.00"</f>
        <v>39860.00</v>
      </c>
      <c r="H564" t="str">
        <f>"Consorzio di bonifica Bacchiglione"</f>
        <v>Consorzio di bonifica Bacchiglione</v>
      </c>
      <c r="I564" t="str">
        <f>"92223390284"</f>
        <v>92223390284</v>
      </c>
      <c r="J564" t="str">
        <f>"23-AFFIDAMENTO DIRETTO"</f>
        <v>23-AFFIDAMENTO DIRETTO</v>
      </c>
      <c r="K564" t="str">
        <f>"09/11/2021"</f>
        <v>09/11/2021</v>
      </c>
      <c r="L564" t="str">
        <f>"24/02/2021"</f>
        <v>24/02/2021</v>
      </c>
      <c r="M564" t="str">
        <f>""</f>
        <v/>
      </c>
      <c r="N564" t="str">
        <f>"Stefanelli S.P.A. Via Vigonovese 83 35127 Padova"</f>
        <v>Stefanelli S.P.A. Via Vigonovese 83 35127 Padova</v>
      </c>
      <c r="O564" t="str">
        <f>"Stefanelli S.P.A. Via Vigonovese 83 35127 Padova"</f>
        <v>Stefanelli S.P.A. Via Vigonovese 83 35127 Padova</v>
      </c>
      <c r="P564" t="s">
        <v>128</v>
      </c>
      <c r="Q564" t="str">
        <f>""</f>
        <v/>
      </c>
      <c r="R564" t="str">
        <f>""</f>
        <v/>
      </c>
      <c r="S564" t="str">
        <f>""</f>
        <v/>
      </c>
      <c r="T564" t="str">
        <f>"https://portaletrasparenza.consorziobacchiglione.it/dettagli/attodigara/898/fornitura-autocarro-leggero-con-gru-id-030-16.html"</f>
        <v>https://portaletrasparenza.consorziobacchiglione.it/dettagli/attodigara/898/fornitura-autocarro-leggero-con-gru-id-030-16.html</v>
      </c>
      <c r="U564" t="str">
        <f>""</f>
        <v/>
      </c>
      <c r="V5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65" spans="1:22" x14ac:dyDescent="0.3">
      <c r="A565" t="str">
        <f>"Affidamento"</f>
        <v>Affidamento</v>
      </c>
      <c r="B565" t="str">
        <f>"Progetto di valorizzazione del patrimonio materiale e immateriale dei Consorzi di bonifica. Affidamento del servizio di stampa etichette archivio storico."</f>
        <v>Progetto di valorizzazione del patrimonio materiale e immateriale dei Consorzi di bonifica. Affidamento del servizio di stampa etichette archivio storico.</v>
      </c>
      <c r="C565" t="str">
        <f>"Z2E1BEFA3D"</f>
        <v>Z2E1BEFA3D</v>
      </c>
      <c r="D565" t="str">
        <f>"04/11/2021"</f>
        <v>04/11/2021</v>
      </c>
      <c r="E565" t="str">
        <f>""</f>
        <v/>
      </c>
      <c r="F565" t="str">
        <f>""</f>
        <v/>
      </c>
      <c r="G565" t="str">
        <f>"360.00"</f>
        <v>360.00</v>
      </c>
      <c r="H565" t="str">
        <f>"Consorzio di bonifica Bacchiglione"</f>
        <v>Consorzio di bonifica Bacchiglione</v>
      </c>
      <c r="I565" t="str">
        <f>"92223390284"</f>
        <v>92223390284</v>
      </c>
      <c r="J565" t="str">
        <f>"23-AFFIDAMENTO DIRETTO"</f>
        <v>23-AFFIDAMENTO DIRETTO</v>
      </c>
      <c r="K565" t="str">
        <f>"09/11/2021"</f>
        <v>09/11/2021</v>
      </c>
      <c r="L565" t="str">
        <f>"13/01/2021"</f>
        <v>13/01/2021</v>
      </c>
      <c r="M565" t="str">
        <f>""</f>
        <v/>
      </c>
      <c r="N565" t="str">
        <f>"CENTRO COPIE BERCHET DI SACCUMAN C. E C. S.A.S."</f>
        <v>CENTRO COPIE BERCHET DI SACCUMAN C. E C. S.A.S.</v>
      </c>
      <c r="O565" t="str">
        <f>"CENTRO COPIE BERCHET DI SACCUMAN C. E C. S.A.S."</f>
        <v>CENTRO COPIE BERCHET DI SACCUMAN C. E C. S.A.S.</v>
      </c>
      <c r="P565" t="str">
        <f>"Z2E1BEFA3D: [360.00€ ]"</f>
        <v>Z2E1BEFA3D: [360.00€ ]</v>
      </c>
      <c r="Q565" t="str">
        <f>""</f>
        <v/>
      </c>
      <c r="R565" t="str">
        <f>""</f>
        <v/>
      </c>
      <c r="S565" t="str">
        <f>""</f>
        <v/>
      </c>
      <c r="T565" t="str">
        <f>"https://portaletrasparenza.consorziobacchiglione.it/dettagli/attodigara/897/progetto-di-valorizzazione-del-patrimonio-materiale-e-immateriale-dei-consorzi-di-bonifica-affidamento-del-servizio-di-stampa-etichette-archivio-storico.html"</f>
        <v>https://portaletrasparenza.consorziobacchiglione.it/dettagli/attodigara/897/progetto-di-valorizzazione-del-patrimonio-materiale-e-immateriale-dei-consorzi-di-bonifica-affidamento-del-servizio-di-stampa-etichette-archivio-storico.html</v>
      </c>
      <c r="U565" t="str">
        <f>""</f>
        <v/>
      </c>
      <c r="V5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66" spans="1:22" x14ac:dyDescent="0.3">
      <c r="A566" t="str">
        <f>"Affidamento"</f>
        <v>Affidamento</v>
      </c>
      <c r="B566" t="str">
        <f>"Manutenzione e riparazione mezzo targato: FN454KT"</f>
        <v>Manutenzione e riparazione mezzo targato: FN454KT</v>
      </c>
      <c r="C566" t="str">
        <f>"Z6B33D2A02"</f>
        <v>Z6B33D2A02</v>
      </c>
      <c r="D566" t="str">
        <f>"11/11/2021"</f>
        <v>11/11/2021</v>
      </c>
      <c r="E566" t="str">
        <f>""</f>
        <v/>
      </c>
      <c r="F566" t="str">
        <f>""</f>
        <v/>
      </c>
      <c r="G566" t="str">
        <f>"120.00"</f>
        <v>120.00</v>
      </c>
      <c r="H566" t="str">
        <f>"Consorzio di bonifica Bacchiglione"</f>
        <v>Consorzio di bonifica Bacchiglione</v>
      </c>
      <c r="I566" t="str">
        <f>"92223390284"</f>
        <v>92223390284</v>
      </c>
      <c r="J566" t="str">
        <f>"23-AFFIDAMENTO DIRETTO"</f>
        <v>23-AFFIDAMENTO DIRETTO</v>
      </c>
      <c r="K566" t="str">
        <f>"09/11/2021"</f>
        <v>09/11/2021</v>
      </c>
      <c r="L566" t="str">
        <f>"31/12/2021"</f>
        <v>31/12/2021</v>
      </c>
      <c r="M566" t="str">
        <f>""</f>
        <v/>
      </c>
      <c r="N566" t="str">
        <f>"Vise Elettrocar Via Montagnon 61 35028 Tognana di Piove di Sacco PD"</f>
        <v>Vise Elettrocar Via Montagnon 61 35028 Tognana di Piove di Sacco PD</v>
      </c>
      <c r="O566" t="str">
        <f>"Vise Elettrocar Via Montagnon 61 35028 Tognana di Piove di Sacco PD"</f>
        <v>Vise Elettrocar Via Montagnon 61 35028 Tognana di Piove di Sacco PD</v>
      </c>
      <c r="P566" t="str">
        <f>"Z6B33D2A02: [0.00€ ]"</f>
        <v>Z6B33D2A02: [0.00€ ]</v>
      </c>
      <c r="Q566" t="str">
        <f>""</f>
        <v/>
      </c>
      <c r="R566" t="str">
        <f>""</f>
        <v/>
      </c>
      <c r="S566" t="str">
        <f>""</f>
        <v/>
      </c>
      <c r="T566" t="str">
        <f>"https://portaletrasparenza.consorziobacchiglione.it/dettagli/attodigara/7264/manutenzione-e-riparazione-mezzo-targato-fn454kt.html"</f>
        <v>https://portaletrasparenza.consorziobacchiglione.it/dettagli/attodigara/7264/manutenzione-e-riparazione-mezzo-targato-fn454kt.html</v>
      </c>
      <c r="U566" t="str">
        <f>"https://portaletrasparenza.consorziobacchiglione.it/download/attodigara/7264/62a210b5e5760.PDF"</f>
        <v>https://portaletrasparenza.consorziobacchiglione.it/download/attodigara/7264/62a210b5e5760.PDF</v>
      </c>
      <c r="V566">
        <f>(SUBSTITUTE(Tabella1[[#This Row],[Importo di aggiudicazione]],".",","))-(SUBSTITUTE(  SUBSTITUTE(          SUBSTITUTE(Tabella1[[#This Row],[Dettaglio somme liquidate]],Tabella1[[#This Row],[CIG]]&amp;": [",""),"€ ]",""),".",","))</f>
        <v>120</v>
      </c>
    </row>
    <row r="567" spans="1:22" x14ac:dyDescent="0.3">
      <c r="A567" t="str">
        <f>"Affidamento"</f>
        <v>Affidamento</v>
      </c>
      <c r="B567" t="str">
        <f>"Fornitura nuova batteria per motopompa J6 250 TWG"</f>
        <v>Fornitura nuova batteria per motopompa J6 250 TWG</v>
      </c>
      <c r="C567" t="str">
        <f>"Z4733D2B17"</f>
        <v>Z4733D2B17</v>
      </c>
      <c r="D567" t="str">
        <f>"11/11/2021"</f>
        <v>11/11/2021</v>
      </c>
      <c r="E567" t="str">
        <f>""</f>
        <v/>
      </c>
      <c r="F567" t="str">
        <f>""</f>
        <v/>
      </c>
      <c r="G567" t="str">
        <f>"150.00"</f>
        <v>150.00</v>
      </c>
      <c r="H567" t="str">
        <f>"Consorzio di bonifica Bacchiglione"</f>
        <v>Consorzio di bonifica Bacchiglione</v>
      </c>
      <c r="I567" t="str">
        <f>"92223390284"</f>
        <v>92223390284</v>
      </c>
      <c r="J567" t="str">
        <f>"23-AFFIDAMENTO DIRETTO"</f>
        <v>23-AFFIDAMENTO DIRETTO</v>
      </c>
      <c r="K567" t="str">
        <f>"09/11/2021"</f>
        <v>09/11/2021</v>
      </c>
      <c r="L567" t="str">
        <f>"08/07/2023"</f>
        <v>08/07/2023</v>
      </c>
      <c r="M567" t="str">
        <f>""</f>
        <v/>
      </c>
      <c r="N567" t="str">
        <f>"Vise Elettrocar Via Montagnon 61 35028 Tognana di Piove di Sacco PD"</f>
        <v>Vise Elettrocar Via Montagnon 61 35028 Tognana di Piove di Sacco PD</v>
      </c>
      <c r="O567" t="str">
        <f>"Vise Elettrocar Via Montagnon 61 35028 Tognana di Piove di Sacco PD"</f>
        <v>Vise Elettrocar Via Montagnon 61 35028 Tognana di Piove di Sacco PD</v>
      </c>
      <c r="P567" t="str">
        <f>"Z4733D2B17: [0.00€ ]"</f>
        <v>Z4733D2B17: [0.00€ ]</v>
      </c>
      <c r="Q567" t="str">
        <f>""</f>
        <v/>
      </c>
      <c r="R567" t="str">
        <f>""</f>
        <v/>
      </c>
      <c r="S567" t="str">
        <f>""</f>
        <v/>
      </c>
      <c r="T567" t="str">
        <f>"https://portaletrasparenza.consorziobacchiglione.it/dettagli/attodigara/7265/fornitura-nuova-batteria-per-motopompa-j6-250-twg.html"</f>
        <v>https://portaletrasparenza.consorziobacchiglione.it/dettagli/attodigara/7265/fornitura-nuova-batteria-per-motopompa-j6-250-twg.html</v>
      </c>
      <c r="U567" t="str">
        <f>"https://portaletrasparenza.consorziobacchiglione.it/download/attodigara/7265/62a210b40b5fa.PDF"</f>
        <v>https://portaletrasparenza.consorziobacchiglione.it/download/attodigara/7265/62a210b40b5fa.PDF</v>
      </c>
      <c r="V567">
        <f>(SUBSTITUTE(Tabella1[[#This Row],[Importo di aggiudicazione]],".",","))-(SUBSTITUTE(  SUBSTITUTE(          SUBSTITUTE(Tabella1[[#This Row],[Dettaglio somme liquidate]],Tabella1[[#This Row],[CIG]]&amp;": [",""),"€ ]",""),".",","))</f>
        <v>150</v>
      </c>
    </row>
    <row r="568" spans="1:22" x14ac:dyDescent="0.3">
      <c r="A568" t="str">
        <f>"Affidamento"</f>
        <v>Affidamento</v>
      </c>
      <c r="B568" t="str">
        <f>"Lavoro di smontaggio completo, pulizia generale e riparata parte elettrica elettropompa sommergibile modello VXm 15/50 C.O.Pratiarcati"</f>
        <v>Lavoro di smontaggio completo, pulizia generale e riparata parte elettrica elettropompa sommergibile modello VXm 15/50 C.O.Pratiarcati</v>
      </c>
      <c r="C568" t="str">
        <f>"ZCA1C6F85D"</f>
        <v>ZCA1C6F85D</v>
      </c>
      <c r="D568" t="str">
        <f>"04/11/2021"</f>
        <v>04/11/2021</v>
      </c>
      <c r="E568" t="str">
        <f>""</f>
        <v/>
      </c>
      <c r="F568" t="str">
        <f>""</f>
        <v/>
      </c>
      <c r="G568" t="str">
        <f>"77.80"</f>
        <v>77.80</v>
      </c>
      <c r="H568" t="str">
        <f>"Consorzio di bonifica Bacchiglione"</f>
        <v>Consorzio di bonifica Bacchiglione</v>
      </c>
      <c r="I568" t="str">
        <f>"92223390284"</f>
        <v>92223390284</v>
      </c>
      <c r="J568" t="str">
        <f>"23-AFFIDAMENTO DIRETTO"</f>
        <v>23-AFFIDAMENTO DIRETTO</v>
      </c>
      <c r="K568" t="str">
        <f>"09/12/2021"</f>
        <v>09/12/2021</v>
      </c>
      <c r="L568" t="str">
        <f>"31/01/2021"</f>
        <v>31/01/2021</v>
      </c>
      <c r="M568" t="str">
        <f>""</f>
        <v/>
      </c>
      <c r="N568" t="str">
        <f>"Scarpa Sergio Elettromeccanica S.n.c. di Scarpa Paola E C. Via A. Vivaldi 7 35028 Piove di Sacco PD"</f>
        <v>Scarpa Sergio Elettromeccanica S.n.c. di Scarpa Paola E C. Via A. Vivaldi 7 35028 Piove di Sacco PD</v>
      </c>
      <c r="O568" t="str">
        <f>"Scarpa Sergio Elettromeccanica S.n.c. di Scarpa Paola E C. Via A. Vivaldi 7 35028 Piove di Sacco PD"</f>
        <v>Scarpa Sergio Elettromeccanica S.n.c. di Scarpa Paola E C. Via A. Vivaldi 7 35028 Piove di Sacco PD</v>
      </c>
      <c r="P568" t="str">
        <f>"ZCA1C6F85D: [77.79€ ]"</f>
        <v>ZCA1C6F85D: [77.79€ ]</v>
      </c>
      <c r="Q568" t="str">
        <f>""</f>
        <v/>
      </c>
      <c r="R568" t="str">
        <f>""</f>
        <v/>
      </c>
      <c r="S568" t="str">
        <f>""</f>
        <v/>
      </c>
      <c r="T568" t="str">
        <f>"https://portaletrasparenza.consorziobacchiglione.it/dettagli/attodigara/986/lavoro-di-smontaggio-completo-pulizia-generale-e-riparata-parte-elettrica-elettropompa-sommergibile-modello-vxm-15-50-c-o-pratiarcati.html"</f>
        <v>https://portaletrasparenza.consorziobacchiglione.it/dettagli/attodigara/986/lavoro-di-smontaggio-completo-pulizia-generale-e-riparata-parte-elettrica-elettropompa-sommergibile-modello-vxm-15-50-c-o-pratiarcati.html</v>
      </c>
      <c r="U568" t="str">
        <f>""</f>
        <v/>
      </c>
      <c r="V568">
        <f>(SUBSTITUTE(Tabella1[[#This Row],[Importo di aggiudicazione]],".",","))-(SUBSTITUTE(  SUBSTITUTE(          SUBSTITUTE(Tabella1[[#This Row],[Dettaglio somme liquidate]],Tabella1[[#This Row],[CIG]]&amp;": [",""),"€ ]",""),".",","))</f>
        <v>9.9999999999909051E-3</v>
      </c>
    </row>
    <row r="569" spans="1:22" x14ac:dyDescent="0.3">
      <c r="A569" t="str">
        <f>"Affidamento"</f>
        <v>Affidamento</v>
      </c>
      <c r="B569" t="str">
        <f>"Servizio di stampa di etichette per la pubblicazione del libretto informativo sulle Botti a sifone"</f>
        <v>Servizio di stampa di etichette per la pubblicazione del libretto informativo sulle Botti a sifone</v>
      </c>
      <c r="C569" t="str">
        <f>"ZDA344F5C4"</f>
        <v>ZDA344F5C4</v>
      </c>
      <c r="D569" t="str">
        <f>"09/12/2021"</f>
        <v>09/12/2021</v>
      </c>
      <c r="E569" t="str">
        <f>""</f>
        <v/>
      </c>
      <c r="F569" t="str">
        <f>""</f>
        <v/>
      </c>
      <c r="G569" t="str">
        <f>"90.00"</f>
        <v>90.00</v>
      </c>
      <c r="H569" t="str">
        <f>"Consorzio di bonifica Bacchiglione"</f>
        <v>Consorzio di bonifica Bacchiglione</v>
      </c>
      <c r="I569" t="str">
        <f>"92223390284"</f>
        <v>92223390284</v>
      </c>
      <c r="J569" t="str">
        <f>"23-AFFIDAMENTO DIRETTO"</f>
        <v>23-AFFIDAMENTO DIRETTO</v>
      </c>
      <c r="K569" t="str">
        <f>"09/12/2021"</f>
        <v>09/12/2021</v>
      </c>
      <c r="L569" t="str">
        <f>"20/12/2021"</f>
        <v>20/12/2021</v>
      </c>
      <c r="M569" t="str">
        <f>""</f>
        <v/>
      </c>
      <c r="N569" t="str">
        <f>"BERCHET INGEGNERIA DI STAMPA S.A.S. DI SACCUMAN CLAUDIO E C."</f>
        <v>BERCHET INGEGNERIA DI STAMPA S.A.S. DI SACCUMAN CLAUDIO E C.</v>
      </c>
      <c r="O569" t="str">
        <f>"BERCHET INGEGNERIA DI STAMPA S.A.S. DI SACCUMAN CLAUDIO E C."</f>
        <v>BERCHET INGEGNERIA DI STAMPA S.A.S. DI SACCUMAN CLAUDIO E C.</v>
      </c>
      <c r="P569" t="s">
        <v>322</v>
      </c>
      <c r="Q569" t="str">
        <f>""</f>
        <v/>
      </c>
      <c r="R569" t="str">
        <f>""</f>
        <v/>
      </c>
      <c r="S569" t="str">
        <f>""</f>
        <v/>
      </c>
      <c r="T569" t="str">
        <f>"https://portaletrasparenza.consorziobacchiglione.it/dettagli/attodigara/7346/servizio-di-stampa-di-etichette-per-la-pubblicazione-del-libretto-informativo-sulle-botti-a-sifone.html"</f>
        <v>https://portaletrasparenza.consorziobacchiglione.it/dettagli/attodigara/7346/servizio-di-stampa-di-etichette-per-la-pubblicazione-del-libretto-informativo-sulle-botti-a-sifone.html</v>
      </c>
      <c r="U569" t="str">
        <f>"https://portaletrasparenza.consorziobacchiglione.it/download/attodigara/7346/63ac45f8c00f7.PDF"</f>
        <v>https://portaletrasparenza.consorziobacchiglione.it/download/attodigara/7346/63ac45f8c00f7.PDF</v>
      </c>
      <c r="V56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70" spans="1:22" x14ac:dyDescent="0.3">
      <c r="A570" t="str">
        <f>"Affidamento"</f>
        <v>Affidamento</v>
      </c>
      <c r="B570" t="str">
        <f>"Fornitura materiale di ferramenta vario per C.O.S.Margherita, Pratiarcati, Montà Portello."</f>
        <v>Fornitura materiale di ferramenta vario per C.O.S.Margherita, Pratiarcati, Montà Portello.</v>
      </c>
      <c r="C570" t="str">
        <f>"ZFA1875BF3"</f>
        <v>ZFA1875BF3</v>
      </c>
      <c r="D570" t="str">
        <f>"04/11/2021"</f>
        <v>04/11/2021</v>
      </c>
      <c r="E570" t="str">
        <f>""</f>
        <v/>
      </c>
      <c r="F570" t="str">
        <f>""</f>
        <v/>
      </c>
      <c r="G570" t="str">
        <f>"929.02"</f>
        <v>929.02</v>
      </c>
      <c r="H570" t="str">
        <f>"Consorzio di bonifica Bacchiglione"</f>
        <v>Consorzio di bonifica Bacchiglione</v>
      </c>
      <c r="I570" t="str">
        <f>"92223390284"</f>
        <v>92223390284</v>
      </c>
      <c r="J570" t="str">
        <f>"23-AFFIDAMENTO DIRETTO"</f>
        <v>23-AFFIDAMENTO DIRETTO</v>
      </c>
      <c r="K570" t="str">
        <f>"10/02/2021"</f>
        <v>10/02/2021</v>
      </c>
      <c r="L570" t="str">
        <f>"14/04/2021"</f>
        <v>14/04/2021</v>
      </c>
      <c r="M570" t="str">
        <f>""</f>
        <v/>
      </c>
      <c r="N570" t="str">
        <f>"Erre Emme s.n.c. Via Cavour 27 35020 Casalserugo PD"</f>
        <v>Erre Emme s.n.c. Via Cavour 27 35020 Casalserugo PD</v>
      </c>
      <c r="O570" t="str">
        <f>"Erre Emme s.n.c. Via Cavour 27 35020 Casalserugo PD"</f>
        <v>Erre Emme s.n.c. Via Cavour 27 35020 Casalserugo PD</v>
      </c>
      <c r="P570" t="str">
        <f>"ZFA1875BF3: [929.02€ ]"</f>
        <v>ZFA1875BF3: [929.02€ ]</v>
      </c>
      <c r="Q570" t="str">
        <f>""</f>
        <v/>
      </c>
      <c r="R570" t="str">
        <f>""</f>
        <v/>
      </c>
      <c r="S570" t="str">
        <f>""</f>
        <v/>
      </c>
      <c r="T570" t="str">
        <f>"https://portaletrasparenza.consorziobacchiglione.it/dettagli/attodigara/146/fornitura-materiale-di-ferramenta-vario-per-c-o-s-margherita-pratiarcati-monta-portello.html"</f>
        <v>https://portaletrasparenza.consorziobacchiglione.it/dettagli/attodigara/146/fornitura-materiale-di-ferramenta-vario-per-c-o-s-margherita-pratiarcati-monta-portello.html</v>
      </c>
      <c r="U570" t="str">
        <f>""</f>
        <v/>
      </c>
      <c r="V57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71" spans="1:22" x14ac:dyDescent="0.3">
      <c r="A571" t="str">
        <f>"Affidamento"</f>
        <v>Affidamento</v>
      </c>
      <c r="B571" t="str">
        <f>"Sostituzione sensori di livello ultrasuoni dell'Idrovora Madonnetta , Isola di Bovolenta, Ponte di Riva."</f>
        <v>Sostituzione sensori di livello ultrasuoni dell'Idrovora Madonnetta , Isola di Bovolenta, Ponte di Riva.</v>
      </c>
      <c r="C571" t="str">
        <f>"Z201875819"</f>
        <v>Z201875819</v>
      </c>
      <c r="D571" t="str">
        <f>"04/11/2021"</f>
        <v>04/11/2021</v>
      </c>
      <c r="E571" t="str">
        <f>""</f>
        <v/>
      </c>
      <c r="F571" t="str">
        <f>""</f>
        <v/>
      </c>
      <c r="G571" t="str">
        <f>"1722.00"</f>
        <v>1722.00</v>
      </c>
      <c r="H571" t="str">
        <f>"Consorzio di bonifica Bacchiglione"</f>
        <v>Consorzio di bonifica Bacchiglione</v>
      </c>
      <c r="I571" t="str">
        <f>"92223390284"</f>
        <v>92223390284</v>
      </c>
      <c r="J571" t="str">
        <f>"23-AFFIDAMENTO DIRETTO"</f>
        <v>23-AFFIDAMENTO DIRETTO</v>
      </c>
      <c r="K571" t="str">
        <f>"10/02/2021"</f>
        <v>10/02/2021</v>
      </c>
      <c r="L571" t="str">
        <f>"29/02/2021"</f>
        <v>29/02/2021</v>
      </c>
      <c r="M571" t="str">
        <f>""</f>
        <v/>
      </c>
      <c r="N571" t="str">
        <f>"A.S.P. Tecnologie srl Via Padre Nicolini 29 35013 Cittadella PD"</f>
        <v>A.S.P. Tecnologie srl Via Padre Nicolini 29 35013 Cittadella PD</v>
      </c>
      <c r="O571" t="str">
        <f>"A.S.P. Tecnologie srl Via Padre Nicolini 29 35013 Cittadella PD"</f>
        <v>A.S.P. Tecnologie srl Via Padre Nicolini 29 35013 Cittadella PD</v>
      </c>
      <c r="P571" t="str">
        <f>"Z201875819: [1722.00€ ]"</f>
        <v>Z201875819: [1722.00€ ]</v>
      </c>
      <c r="Q571" t="str">
        <f>""</f>
        <v/>
      </c>
      <c r="R571" t="str">
        <f>""</f>
        <v/>
      </c>
      <c r="S571" t="str">
        <f>""</f>
        <v/>
      </c>
      <c r="T571" t="str">
        <f>"https://portaletrasparenza.consorziobacchiglione.it/dettagli/attodigara/145/sostituzione-sensori-di-livello-ultrasuoni-dell-idrovora-madonnetta-isola-di-bovolenta-ponte-di-riva.html"</f>
        <v>https://portaletrasparenza.consorziobacchiglione.it/dettagli/attodigara/145/sostituzione-sensori-di-livello-ultrasuoni-dell-idrovora-madonnetta-isola-di-bovolenta-ponte-di-riva.html</v>
      </c>
      <c r="U571" t="str">
        <f>""</f>
        <v/>
      </c>
      <c r="V57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72" spans="1:22" x14ac:dyDescent="0.3">
      <c r="A572" t="str">
        <f>"Affidamento"</f>
        <v>Affidamento</v>
      </c>
      <c r="B572" t="str">
        <f>"Fornitura materiale edile e di ferramenta per bacino Sesta Presa, Pratiarcati, Montà Portello."</f>
        <v>Fornitura materiale edile e di ferramenta per bacino Sesta Presa, Pratiarcati, Montà Portello.</v>
      </c>
      <c r="C572" t="str">
        <f>"ZEC1875637"</f>
        <v>ZEC1875637</v>
      </c>
      <c r="D572" t="str">
        <f>"04/11/2021"</f>
        <v>04/11/2021</v>
      </c>
      <c r="E572" t="str">
        <f>""</f>
        <v/>
      </c>
      <c r="F572" t="str">
        <f>""</f>
        <v/>
      </c>
      <c r="G572" t="str">
        <f>"1684.57"</f>
        <v>1684.57</v>
      </c>
      <c r="H572" t="str">
        <f>"Consorzio di bonifica Bacchiglione"</f>
        <v>Consorzio di bonifica Bacchiglione</v>
      </c>
      <c r="I572" t="str">
        <f>"92223390284"</f>
        <v>92223390284</v>
      </c>
      <c r="J572" t="str">
        <f>"23-AFFIDAMENTO DIRETTO"</f>
        <v>23-AFFIDAMENTO DIRETTO</v>
      </c>
      <c r="K572" t="str">
        <f>"10/02/2021"</f>
        <v>10/02/2021</v>
      </c>
      <c r="L572" t="str">
        <f>"29/03/2021"</f>
        <v>29/03/2021</v>
      </c>
      <c r="M572" t="str">
        <f>""</f>
        <v/>
      </c>
      <c r="N572" t="str">
        <f>"Idronord s.r.l. Via delle Industrie 3C 30036 Santa Maria Di Sala VE"</f>
        <v>Idronord s.r.l. Via delle Industrie 3C 30036 Santa Maria Di Sala VE</v>
      </c>
      <c r="O572" t="str">
        <f>"Idronord s.r.l. Via delle Industrie 3C 30036 Santa Maria Di Sala VE"</f>
        <v>Idronord s.r.l. Via delle Industrie 3C 30036 Santa Maria Di Sala VE</v>
      </c>
      <c r="P572" t="str">
        <f>"ZEC1875637: [1684.57€ ]"</f>
        <v>ZEC1875637: [1684.57€ ]</v>
      </c>
      <c r="Q572" t="str">
        <f>""</f>
        <v/>
      </c>
      <c r="R572" t="str">
        <f>""</f>
        <v/>
      </c>
      <c r="S572" t="str">
        <f>""</f>
        <v/>
      </c>
      <c r="T572" t="str">
        <f>"https://portaletrasparenza.consorziobacchiglione.it/dettagli/attodigara/144/fornitura-materiale-edile-e-di-ferramenta-per-bacino-sesta-presa-pratiarcati-monta-portello.html"</f>
        <v>https://portaletrasparenza.consorziobacchiglione.it/dettagli/attodigara/144/fornitura-materiale-edile-e-di-ferramenta-per-bacino-sesta-presa-pratiarcati-monta-portello.html</v>
      </c>
      <c r="U572" t="str">
        <f>""</f>
        <v/>
      </c>
      <c r="V57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73" spans="1:22" x14ac:dyDescent="0.3">
      <c r="A573" t="str">
        <f>"Affidamento"</f>
        <v>Affidamento</v>
      </c>
      <c r="B573" t="str">
        <f>"Acquisto, presso l'Agenzia delle Entrate - Ufficio Provinciale di Venezia - Territorio, dei dati cartografici aggiornati anno 2015 - Integrazione foglio 26 e 43 del Comune di Chioggia"</f>
        <v>Acquisto, presso l'Agenzia delle Entrate - Ufficio Provinciale di Venezia - Territorio, dei dati cartografici aggiornati anno 2015 - Integrazione foglio 26 e 43 del Comune di Chioggia</v>
      </c>
      <c r="C573" t="str">
        <f>"Z931874612"</f>
        <v>Z931874612</v>
      </c>
      <c r="D573" t="str">
        <f>"04/11/2021"</f>
        <v>04/11/2021</v>
      </c>
      <c r="E573" t="str">
        <f>""</f>
        <v/>
      </c>
      <c r="F573" t="str">
        <f>""</f>
        <v/>
      </c>
      <c r="G573" t="str">
        <f>"65.57"</f>
        <v>65.57</v>
      </c>
      <c r="H573" t="str">
        <f>"Consorzio di bonifica Bacchiglione"</f>
        <v>Consorzio di bonifica Bacchiglione</v>
      </c>
      <c r="I573" t="str">
        <f>"92223390284"</f>
        <v>92223390284</v>
      </c>
      <c r="J573" t="str">
        <f>"23-AFFIDAMENTO DIRETTO"</f>
        <v>23-AFFIDAMENTO DIRETTO</v>
      </c>
      <c r="K573" t="str">
        <f>"10/02/2021"</f>
        <v>10/02/2021</v>
      </c>
      <c r="L573" t="str">
        <f>"12/02/2021"</f>
        <v>12/02/2021</v>
      </c>
      <c r="M573" t="str">
        <f>""</f>
        <v/>
      </c>
      <c r="N573" t="str">
        <f>"AGENZIA DELLE ENTRATE"</f>
        <v>AGENZIA DELLE ENTRATE</v>
      </c>
      <c r="O573" t="str">
        <f>"AGENZIA DELLE ENTRATE"</f>
        <v>AGENZIA DELLE ENTRATE</v>
      </c>
      <c r="P573" t="str">
        <f>"Z931874612: [0.00€ ]"</f>
        <v>Z931874612: [0.00€ ]</v>
      </c>
      <c r="Q573" t="str">
        <f>""</f>
        <v/>
      </c>
      <c r="R573" t="str">
        <f>""</f>
        <v/>
      </c>
      <c r="S573" t="str">
        <f>""</f>
        <v/>
      </c>
      <c r="T573" t="s">
        <v>55</v>
      </c>
      <c r="U573" t="str">
        <f>""</f>
        <v/>
      </c>
      <c r="V573">
        <f>(SUBSTITUTE(Tabella1[[#This Row],[Importo di aggiudicazione]],".",","))-(SUBSTITUTE(  SUBSTITUTE(          SUBSTITUTE(Tabella1[[#This Row],[Dettaglio somme liquidate]],Tabella1[[#This Row],[CIG]]&amp;": [",""),"€ ]",""),".",","))</f>
        <v>65.569999999999993</v>
      </c>
    </row>
    <row r="574" spans="1:22" x14ac:dyDescent="0.3">
      <c r="A574" t="str">
        <f>"Affidamento"</f>
        <v>Affidamento</v>
      </c>
      <c r="B574" t="str">
        <f>"Lavoro di sistemazione infiltrazione su scolo Altipiano a monte del sifone Volta Pennelli in SX Idraulica"</f>
        <v>Lavoro di sistemazione infiltrazione su scolo Altipiano a monte del sifone Volta Pennelli in SX Idraulica</v>
      </c>
      <c r="C574" t="str">
        <f>"Z563095A73"</f>
        <v>Z563095A73</v>
      </c>
      <c r="D574" t="str">
        <f>"26/02/2021"</f>
        <v>26/02/2021</v>
      </c>
      <c r="E574" t="str">
        <f>""</f>
        <v/>
      </c>
      <c r="F574" t="str">
        <f>""</f>
        <v/>
      </c>
      <c r="G574" t="str">
        <f>"21305.13"</f>
        <v>21305.13</v>
      </c>
      <c r="H574" t="str">
        <f>"Consorzio di bonifica Bacchiglione"</f>
        <v>Consorzio di bonifica Bacchiglione</v>
      </c>
      <c r="I574" t="str">
        <f>"92223390284"</f>
        <v>92223390284</v>
      </c>
      <c r="J574" t="str">
        <f>"23-AFFIDAMENTO DIRETTO"</f>
        <v>23-AFFIDAMENTO DIRETTO</v>
      </c>
      <c r="K574" t="str">
        <f>"10/02/2021"</f>
        <v>10/02/2021</v>
      </c>
      <c r="L574" t="str">
        <f>"02/03/2021"</f>
        <v>02/03/2021</v>
      </c>
      <c r="M574" t="str">
        <f>""</f>
        <v/>
      </c>
      <c r="N574" t="str">
        <f>"Costruzioni stradali di Biasin Geom. Alfio Via Minelle 3 35030 Cinto Euganeo PD"</f>
        <v>Costruzioni stradali di Biasin Geom. Alfio Via Minelle 3 35030 Cinto Euganeo PD</v>
      </c>
      <c r="O574" t="str">
        <f>"Costruzioni stradali di Biasin Geom. Alfio Via Minelle 3 35030 Cinto Euganeo PD"</f>
        <v>Costruzioni stradali di Biasin Geom. Alfio Via Minelle 3 35030 Cinto Euganeo PD</v>
      </c>
      <c r="P574" t="str">
        <f>"Z563095A73: [21305.12€ ]"</f>
        <v>Z563095A73: [21305.12€ ]</v>
      </c>
      <c r="Q574" t="str">
        <f>""</f>
        <v/>
      </c>
      <c r="R574" t="str">
        <f>""</f>
        <v/>
      </c>
      <c r="S574" t="str">
        <f>""</f>
        <v/>
      </c>
      <c r="T574" t="str">
        <f>"https://portaletrasparenza.consorziobacchiglione.it/dettagli/attodigara/6624/lavoro-di-sistemazione-infiltrazione-su-scolo-altipiano-a-monte-del-sifone-volta-pennelli-in-sx-idraulica.html"</f>
        <v>https://portaletrasparenza.consorziobacchiglione.it/dettagli/attodigara/6624/lavoro-di-sistemazione-infiltrazione-su-scolo-altipiano-a-monte-del-sifone-volta-pennelli-in-sx-idraulica.html</v>
      </c>
      <c r="U574" t="str">
        <f>"https://portaletrasparenza.consorziobacchiglione.it/download/attodigara/6624/63ac456170850.PDF"</f>
        <v>https://portaletrasparenza.consorziobacchiglione.it/download/attodigara/6624/63ac456170850.PDF</v>
      </c>
      <c r="V574">
        <f>(SUBSTITUTE(Tabella1[[#This Row],[Importo di aggiudicazione]],".",","))-(SUBSTITUTE(  SUBSTITUTE(          SUBSTITUTE(Tabella1[[#This Row],[Dettaglio somme liquidate]],Tabella1[[#This Row],[CIG]]&amp;": [",""),"€ ]",""),".",","))</f>
        <v>1.0000000002037268E-2</v>
      </c>
    </row>
    <row r="575" spans="1:22" x14ac:dyDescent="0.3">
      <c r="A575" t="str">
        <f>"Affidamento"</f>
        <v>Affidamento</v>
      </c>
      <c r="B575" t="str">
        <f>"Riparazione elettropompa E.P.1 Idrovora Baldon."</f>
        <v>Riparazione elettropompa E.P.1 Idrovora Baldon.</v>
      </c>
      <c r="C575" t="str">
        <f>"Z9A18EDB53"</f>
        <v>Z9A18EDB53</v>
      </c>
      <c r="D575" t="str">
        <f>"04/11/2021"</f>
        <v>04/11/2021</v>
      </c>
      <c r="E575" t="str">
        <f>""</f>
        <v/>
      </c>
      <c r="F575" t="str">
        <f>""</f>
        <v/>
      </c>
      <c r="G575" t="str">
        <f>"250.00"</f>
        <v>250.00</v>
      </c>
      <c r="H575" t="str">
        <f>"Consorzio di bonifica Bacchiglione"</f>
        <v>Consorzio di bonifica Bacchiglione</v>
      </c>
      <c r="I575" t="str">
        <f>"92223390284"</f>
        <v>92223390284</v>
      </c>
      <c r="J575" t="str">
        <f>"23-AFFIDAMENTO DIRETTO"</f>
        <v>23-AFFIDAMENTO DIRETTO</v>
      </c>
      <c r="K575" t="str">
        <f>"10/03/2021"</f>
        <v>10/03/2021</v>
      </c>
      <c r="L575" t="str">
        <f>"25/05/2021"</f>
        <v>25/05/2021</v>
      </c>
      <c r="M575" t="str">
        <f>""</f>
        <v/>
      </c>
      <c r="N575" t="str">
        <f>"Moro Meccanica S.R.L. Via Bologna 7 35035 Mestrino PD"</f>
        <v>Moro Meccanica S.R.L. Via Bologna 7 35035 Mestrino PD</v>
      </c>
      <c r="O575" t="str">
        <f>"Moro Meccanica S.R.L. Via Bologna 7 35035 Mestrino PD"</f>
        <v>Moro Meccanica S.R.L. Via Bologna 7 35035 Mestrino PD</v>
      </c>
      <c r="P575" t="str">
        <f>"Z9A18EDB53: [250.00€ ]"</f>
        <v>Z9A18EDB53: [250.00€ ]</v>
      </c>
      <c r="Q575" t="str">
        <f>""</f>
        <v/>
      </c>
      <c r="R575" t="str">
        <f>""</f>
        <v/>
      </c>
      <c r="S575" t="str">
        <f>""</f>
        <v/>
      </c>
      <c r="T575" t="str">
        <f>"https://portaletrasparenza.consorziobacchiglione.it/dettagli/attodigara/219/riparazione-elettropompa-e-p-1-idrovora-baldon.html"</f>
        <v>https://portaletrasparenza.consorziobacchiglione.it/dettagli/attodigara/219/riparazione-elettropompa-e-p-1-idrovora-baldon.html</v>
      </c>
      <c r="U575" t="str">
        <f>""</f>
        <v/>
      </c>
      <c r="V57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76" spans="1:22" x14ac:dyDescent="0.3">
      <c r="A576" t="str">
        <f>"Affidamento"</f>
        <v>Affidamento</v>
      </c>
      <c r="B576" t="str">
        <f>"Fornitura n 10 scatole sezione lama da 25 pz per C.O.Bovolenta."</f>
        <v>Fornitura n 10 scatole sezione lama da 25 pz per C.O.Bovolenta.</v>
      </c>
      <c r="C576" t="str">
        <f>"Z8718EDA20"</f>
        <v>Z8718EDA20</v>
      </c>
      <c r="D576" t="str">
        <f>"04/11/2021"</f>
        <v>04/11/2021</v>
      </c>
      <c r="E576" t="str">
        <f>""</f>
        <v/>
      </c>
      <c r="F576" t="str">
        <f>""</f>
        <v/>
      </c>
      <c r="G576" t="str">
        <f>"312.50"</f>
        <v>312.50</v>
      </c>
      <c r="H576" t="str">
        <f>"Consorzio di bonifica Bacchiglione"</f>
        <v>Consorzio di bonifica Bacchiglione</v>
      </c>
      <c r="I576" t="str">
        <f>"92223390284"</f>
        <v>92223390284</v>
      </c>
      <c r="J576" t="str">
        <f>"23-AFFIDAMENTO DIRETTO"</f>
        <v>23-AFFIDAMENTO DIRETTO</v>
      </c>
      <c r="K576" t="str">
        <f>"10/03/2021"</f>
        <v>10/03/2021</v>
      </c>
      <c r="L576" t="str">
        <f>"18/05/2021"</f>
        <v>18/05/2021</v>
      </c>
      <c r="M576" t="str">
        <f>""</f>
        <v/>
      </c>
      <c r="N576" t="str">
        <f>"Eredi di Stivanello Sergio S.a.s. Via Padova 156 35025 Cartura PD"</f>
        <v>Eredi di Stivanello Sergio S.a.s. Via Padova 156 35025 Cartura PD</v>
      </c>
      <c r="O576" t="str">
        <f>"Eredi di Stivanello Sergio S.a.s. Via Padova 156 35025 Cartura PD"</f>
        <v>Eredi di Stivanello Sergio S.a.s. Via Padova 156 35025 Cartura PD</v>
      </c>
      <c r="P576" t="str">
        <f>"Z8718EDA20: [312.50€ ]"</f>
        <v>Z8718EDA20: [312.50€ ]</v>
      </c>
      <c r="Q576" t="str">
        <f>""</f>
        <v/>
      </c>
      <c r="R576" t="str">
        <f>""</f>
        <v/>
      </c>
      <c r="S576" t="str">
        <f>""</f>
        <v/>
      </c>
      <c r="T576" t="str">
        <f>"https://portaletrasparenza.consorziobacchiglione.it/dettagli/attodigara/218/fornitura-n-10-scatole-sezione-lama-da-25-pz-per-c-o-bovolenta.html"</f>
        <v>https://portaletrasparenza.consorziobacchiglione.it/dettagli/attodigara/218/fornitura-n-10-scatole-sezione-lama-da-25-pz-per-c-o-bovolenta.html</v>
      </c>
      <c r="U576" t="str">
        <f>""</f>
        <v/>
      </c>
      <c r="V57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77" spans="1:22" x14ac:dyDescent="0.3">
      <c r="A577" t="str">
        <f>"Affidamento"</f>
        <v>Affidamento</v>
      </c>
      <c r="B577" t="str">
        <f>"Inversione ant/post c/bilanciature su mezzo con targa : DA204YW."</f>
        <v>Inversione ant/post c/bilanciature su mezzo con targa : DA204YW.</v>
      </c>
      <c r="C577" t="str">
        <f>"Z8218ED8C7"</f>
        <v>Z8218ED8C7</v>
      </c>
      <c r="D577" t="str">
        <f>"04/11/2021"</f>
        <v>04/11/2021</v>
      </c>
      <c r="E577" t="str">
        <f>""</f>
        <v/>
      </c>
      <c r="F577" t="str">
        <f>""</f>
        <v/>
      </c>
      <c r="G577" t="str">
        <f>"20.00"</f>
        <v>20.00</v>
      </c>
      <c r="H577" t="str">
        <f>"Consorzio di bonifica Bacchiglione"</f>
        <v>Consorzio di bonifica Bacchiglione</v>
      </c>
      <c r="I577" t="str">
        <f>"92223390284"</f>
        <v>92223390284</v>
      </c>
      <c r="J577" t="str">
        <f>"23-AFFIDAMENTO DIRETTO"</f>
        <v>23-AFFIDAMENTO DIRETTO</v>
      </c>
      <c r="K577" t="str">
        <f>"10/03/2021"</f>
        <v>10/03/2021</v>
      </c>
      <c r="L577" t="str">
        <f>"14/04/2021"</f>
        <v>14/04/2021</v>
      </c>
      <c r="M577" t="str">
        <f>""</f>
        <v/>
      </c>
      <c r="N577" t="str">
        <f>"Galesso Roberto Via San Rocco 52B 35028 Piove di Sacco PD"</f>
        <v>Galesso Roberto Via San Rocco 52B 35028 Piove di Sacco PD</v>
      </c>
      <c r="O577" t="str">
        <f>"Galesso Roberto Via San Rocco 52B 35028 Piove di Sacco PD"</f>
        <v>Galesso Roberto Via San Rocco 52B 35028 Piove di Sacco PD</v>
      </c>
      <c r="P577" t="str">
        <f>"Z8218ED8C7: [20.00€ ]"</f>
        <v>Z8218ED8C7: [20.00€ ]</v>
      </c>
      <c r="Q577" t="str">
        <f>""</f>
        <v/>
      </c>
      <c r="R577" t="str">
        <f>""</f>
        <v/>
      </c>
      <c r="S577" t="str">
        <f>""</f>
        <v/>
      </c>
      <c r="T577" t="str">
        <f>"https://portaletrasparenza.consorziobacchiglione.it/dettagli/attodigara/217/inversione-ant-post-c-bilanciature-su-mezzo-con-targa-da204yw.html"</f>
        <v>https://portaletrasparenza.consorziobacchiglione.it/dettagli/attodigara/217/inversione-ant-post-c-bilanciature-su-mezzo-con-targa-da204yw.html</v>
      </c>
      <c r="U577" t="str">
        <f>""</f>
        <v/>
      </c>
      <c r="V5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78" spans="1:22" x14ac:dyDescent="0.3">
      <c r="A578" t="str">
        <f>"Affidamento"</f>
        <v>Affidamento</v>
      </c>
      <c r="B578" t="str">
        <f>"Riparazione n 4 decespugliatori Sthil C.O.S.Margherita."</f>
        <v>Riparazione n 4 decespugliatori Sthil C.O.S.Margherita.</v>
      </c>
      <c r="C578" t="str">
        <f>"Z4818ED7DA"</f>
        <v>Z4818ED7DA</v>
      </c>
      <c r="D578" t="str">
        <f>"04/11/2021"</f>
        <v>04/11/2021</v>
      </c>
      <c r="E578" t="str">
        <f>""</f>
        <v/>
      </c>
      <c r="F578" t="str">
        <f>""</f>
        <v/>
      </c>
      <c r="G578" t="str">
        <f>"298.93"</f>
        <v>298.93</v>
      </c>
      <c r="H578" t="str">
        <f>"Consorzio di bonifica Bacchiglione"</f>
        <v>Consorzio di bonifica Bacchiglione</v>
      </c>
      <c r="I578" t="str">
        <f>"92223390284"</f>
        <v>92223390284</v>
      </c>
      <c r="J578" t="str">
        <f>"23-AFFIDAMENTO DIRETTO"</f>
        <v>23-AFFIDAMENTO DIRETTO</v>
      </c>
      <c r="K578" t="str">
        <f>"10/03/2021"</f>
        <v>10/03/2021</v>
      </c>
      <c r="L578" t="str">
        <f>"14/04/2021"</f>
        <v>14/04/2021</v>
      </c>
      <c r="M578" t="str">
        <f>""</f>
        <v/>
      </c>
      <c r="N578" t="str">
        <f>"Frizzarin Riccardo Via Papa Giovanni XXXIII 20 35026 Conselve PD"</f>
        <v>Frizzarin Riccardo Via Papa Giovanni XXXIII 20 35026 Conselve PD</v>
      </c>
      <c r="O578" t="str">
        <f>"Frizzarin Riccardo Via Papa Giovanni XXXIII 20 35026 Conselve PD"</f>
        <v>Frizzarin Riccardo Via Papa Giovanni XXXIII 20 35026 Conselve PD</v>
      </c>
      <c r="P578" t="str">
        <f>"Z4818ED7DA: [298.93€ ]"</f>
        <v>Z4818ED7DA: [298.93€ ]</v>
      </c>
      <c r="Q578" t="str">
        <f>""</f>
        <v/>
      </c>
      <c r="R578" t="str">
        <f>""</f>
        <v/>
      </c>
      <c r="S578" t="str">
        <f>""</f>
        <v/>
      </c>
      <c r="T578" t="str">
        <f>"https://portaletrasparenza.consorziobacchiglione.it/dettagli/attodigara/216/riparazione-n-4-decespugliatori-sthil-c-o-s-margherita.html"</f>
        <v>https://portaletrasparenza.consorziobacchiglione.it/dettagli/attodigara/216/riparazione-n-4-decespugliatori-sthil-c-o-s-margherita.html</v>
      </c>
      <c r="U578" t="str">
        <f>""</f>
        <v/>
      </c>
      <c r="V57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79" spans="1:22" x14ac:dyDescent="0.3">
      <c r="A579" t="str">
        <f>"Affidamento"</f>
        <v>Affidamento</v>
      </c>
      <c r="B579" t="str">
        <f>"Igienizzazione impianti di climatizzazione Idrovore : Fossetta, Treponti, Maestro, Fossa del Pan."</f>
        <v>Igienizzazione impianti di climatizzazione Idrovore : Fossetta, Treponti, Maestro, Fossa del Pan.</v>
      </c>
      <c r="C579" t="str">
        <f>"ZD318ED51E"</f>
        <v>ZD318ED51E</v>
      </c>
      <c r="D579" t="str">
        <f>"04/11/2021"</f>
        <v>04/11/2021</v>
      </c>
      <c r="E579" t="str">
        <f>""</f>
        <v/>
      </c>
      <c r="F579" t="str">
        <f>""</f>
        <v/>
      </c>
      <c r="G579" t="str">
        <f>"200.00"</f>
        <v>200.00</v>
      </c>
      <c r="H579" t="str">
        <f>"Consorzio di bonifica Bacchiglione"</f>
        <v>Consorzio di bonifica Bacchiglione</v>
      </c>
      <c r="I579" t="str">
        <f>"92223390284"</f>
        <v>92223390284</v>
      </c>
      <c r="J579" t="str">
        <f>"23-AFFIDAMENTO DIRETTO"</f>
        <v>23-AFFIDAMENTO DIRETTO</v>
      </c>
      <c r="K579" t="str">
        <f>"10/03/2021"</f>
        <v>10/03/2021</v>
      </c>
      <c r="L579" t="str">
        <f>"26/04/2021"</f>
        <v>26/04/2021</v>
      </c>
      <c r="M579" t="str">
        <f>""</f>
        <v/>
      </c>
      <c r="N579" t="str">
        <f>"Giraldo Impianti SNC di Giraldo Danilo e Silvio Via Flli Cervi 1-II 30010 Campolongo Maggiore VE"</f>
        <v>Giraldo Impianti SNC di Giraldo Danilo e Silvio Via Flli Cervi 1-II 30010 Campolongo Maggiore VE</v>
      </c>
      <c r="O579" t="str">
        <f>"Giraldo Impianti SNC di Giraldo Danilo e Silvio Via Flli Cervi 1-II 30010 Campolongo Maggiore VE"</f>
        <v>Giraldo Impianti SNC di Giraldo Danilo e Silvio Via Flli Cervi 1-II 30010 Campolongo Maggiore VE</v>
      </c>
      <c r="P579" t="str">
        <f>"ZD318ED51E: [200.00€ ]"</f>
        <v>ZD318ED51E: [200.00€ ]</v>
      </c>
      <c r="Q579" t="str">
        <f>""</f>
        <v/>
      </c>
      <c r="R579" t="str">
        <f>""</f>
        <v/>
      </c>
      <c r="S579" t="str">
        <f>""</f>
        <v/>
      </c>
      <c r="T579" t="str">
        <f>"https://portaletrasparenza.consorziobacchiglione.it/dettagli/attodigara/215/igienizzazione-impianti-di-climatizzazione-idrovore-fossetta-treponti-maestro-fossa-del-pan.html"</f>
        <v>https://portaletrasparenza.consorziobacchiglione.it/dettagli/attodigara/215/igienizzazione-impianti-di-climatizzazione-idrovore-fossetta-treponti-maestro-fossa-del-pan.html</v>
      </c>
      <c r="U579" t="str">
        <f>""</f>
        <v/>
      </c>
      <c r="V5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80" spans="1:22" x14ac:dyDescent="0.3">
      <c r="A580" t="str">
        <f>"Affidamento"</f>
        <v>Affidamento</v>
      </c>
      <c r="B580" t="str">
        <f>"Igienizzazione impianti di climatizzazione Sede Consorziale e Uff.S.Margherita."</f>
        <v>Igienizzazione impianti di climatizzazione Sede Consorziale e Uff.S.Margherita.</v>
      </c>
      <c r="C580" t="str">
        <f>"ZE818ED2EF"</f>
        <v>ZE818ED2EF</v>
      </c>
      <c r="D580" t="str">
        <f>"04/11/2021"</f>
        <v>04/11/2021</v>
      </c>
      <c r="E580" t="str">
        <f>""</f>
        <v/>
      </c>
      <c r="F580" t="str">
        <f>""</f>
        <v/>
      </c>
      <c r="G580" t="str">
        <f>"1390.00"</f>
        <v>1390.00</v>
      </c>
      <c r="H580" t="str">
        <f>"Consorzio di bonifica Bacchiglione"</f>
        <v>Consorzio di bonifica Bacchiglione</v>
      </c>
      <c r="I580" t="str">
        <f>"92223390284"</f>
        <v>92223390284</v>
      </c>
      <c r="J580" t="str">
        <f>"23-AFFIDAMENTO DIRETTO"</f>
        <v>23-AFFIDAMENTO DIRETTO</v>
      </c>
      <c r="K580" t="str">
        <f>"10/03/2021"</f>
        <v>10/03/2021</v>
      </c>
      <c r="L580" t="str">
        <f>"26/04/2021"</f>
        <v>26/04/2021</v>
      </c>
      <c r="M580" t="str">
        <f>""</f>
        <v/>
      </c>
      <c r="N580" t="str">
        <f>"Giraldo Impianti SNC di Giraldo Danilo e Silvio Via Flli Cervi 1-II 30010 Campolongo Maggiore VE"</f>
        <v>Giraldo Impianti SNC di Giraldo Danilo e Silvio Via Flli Cervi 1-II 30010 Campolongo Maggiore VE</v>
      </c>
      <c r="O580" t="str">
        <f>"Giraldo Impianti SNC di Giraldo Danilo e Silvio Via Flli Cervi 1-II 30010 Campolongo Maggiore VE"</f>
        <v>Giraldo Impianti SNC di Giraldo Danilo e Silvio Via Flli Cervi 1-II 30010 Campolongo Maggiore VE</v>
      </c>
      <c r="P580" t="str">
        <f>"ZE818ED2EF: [1390.00€ ]"</f>
        <v>ZE818ED2EF: [1390.00€ ]</v>
      </c>
      <c r="Q580" t="str">
        <f>""</f>
        <v/>
      </c>
      <c r="R580" t="str">
        <f>""</f>
        <v/>
      </c>
      <c r="S580" t="str">
        <f>""</f>
        <v/>
      </c>
      <c r="T580" t="str">
        <f>"https://portaletrasparenza.consorziobacchiglione.it/dettagli/attodigara/214/igienizzazione-impianti-di-climatizzazione-sede-consorziale-e-uff-s-margherita.html"</f>
        <v>https://portaletrasparenza.consorziobacchiglione.it/dettagli/attodigara/214/igienizzazione-impianti-di-climatizzazione-sede-consorziale-e-uff-s-margherita.html</v>
      </c>
      <c r="U580" t="str">
        <f>""</f>
        <v/>
      </c>
      <c r="V58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81" spans="1:22" x14ac:dyDescent="0.3">
      <c r="A581" t="str">
        <f>"Affidamento"</f>
        <v>Affidamento</v>
      </c>
      <c r="B581" t="str">
        <f>"Redazione relazione paesaggistica e relazione di non incidenza SIC-ZPS - Processo ID 010-14."</f>
        <v>Redazione relazione paesaggistica e relazione di non incidenza SIC-ZPS - Processo ID 010-14.</v>
      </c>
      <c r="C581" t="str">
        <f>"Z9718EB05B"</f>
        <v>Z9718EB05B</v>
      </c>
      <c r="D581" t="str">
        <f>"04/11/2021"</f>
        <v>04/11/2021</v>
      </c>
      <c r="E581" t="str">
        <f>""</f>
        <v/>
      </c>
      <c r="F581" t="str">
        <f>""</f>
        <v/>
      </c>
      <c r="G581" t="str">
        <f>"1040.00"</f>
        <v>1040.00</v>
      </c>
      <c r="H581" t="str">
        <f>"Consorzio di bonifica Bacchiglione"</f>
        <v>Consorzio di bonifica Bacchiglione</v>
      </c>
      <c r="I581" t="str">
        <f>"92223390284"</f>
        <v>92223390284</v>
      </c>
      <c r="J581" t="str">
        <f>"23-AFFIDAMENTO DIRETTO"</f>
        <v>23-AFFIDAMENTO DIRETTO</v>
      </c>
      <c r="K581" t="str">
        <f>"10/03/2021"</f>
        <v>10/03/2021</v>
      </c>
      <c r="L581" t="str">
        <f>"19/05/2021"</f>
        <v>19/05/2021</v>
      </c>
      <c r="M581" t="str">
        <f>""</f>
        <v/>
      </c>
      <c r="N581" t="str">
        <f>"Ing. FABIO MURARO"</f>
        <v>Ing. FABIO MURARO</v>
      </c>
      <c r="O581" t="str">
        <f>"Ing. FABIO MURARO"</f>
        <v>Ing. FABIO MURARO</v>
      </c>
      <c r="P581" t="str">
        <f>"Z9718EB05B: [1040.00€ ]"</f>
        <v>Z9718EB05B: [1040.00€ ]</v>
      </c>
      <c r="Q581" t="str">
        <f>""</f>
        <v/>
      </c>
      <c r="R581" t="str">
        <f>""</f>
        <v/>
      </c>
      <c r="S581" t="str">
        <f>""</f>
        <v/>
      </c>
      <c r="T581" t="str">
        <f>"https://portaletrasparenza.consorziobacchiglione.it/dettagli/attodigara/212/redazione-relazione-paesaggistica-e-relazione-di-non-incidenza-sic-zps-processo-id-010-14.html"</f>
        <v>https://portaletrasparenza.consorziobacchiglione.it/dettagli/attodigara/212/redazione-relazione-paesaggistica-e-relazione-di-non-incidenza-sic-zps-processo-id-010-14.html</v>
      </c>
      <c r="U581" t="str">
        <f>""</f>
        <v/>
      </c>
      <c r="V58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82" spans="1:22" x14ac:dyDescent="0.3">
      <c r="A582" t="str">
        <f>"Affidamento"</f>
        <v>Affidamento</v>
      </c>
      <c r="B582" t="str">
        <f>"Attività di consulenza legale continuativa per l'anno 2016 all'U.T. per i ll.pp e per le espropriazioni per P.U. relativa all'anno 2016. - Processo ID 002-16."</f>
        <v>Attività di consulenza legale continuativa per l'anno 2016 all'U.T. per i ll.pp e per le espropriazioni per P.U. relativa all'anno 2016. - Processo ID 002-16.</v>
      </c>
      <c r="C582" t="str">
        <f>"Z0C2D57E91"</f>
        <v>Z0C2D57E91</v>
      </c>
      <c r="D582" t="str">
        <f>"04/11/2021"</f>
        <v>04/11/2021</v>
      </c>
      <c r="E582" t="str">
        <f>""</f>
        <v/>
      </c>
      <c r="F582" t="str">
        <f>""</f>
        <v/>
      </c>
      <c r="G582" t="str">
        <f>"10400.00"</f>
        <v>10400.00</v>
      </c>
      <c r="H582" t="str">
        <f>"Consorzio di bonifica Bacchiglione"</f>
        <v>Consorzio di bonifica Bacchiglione</v>
      </c>
      <c r="I582" t="str">
        <f>"92223390284"</f>
        <v>92223390284</v>
      </c>
      <c r="J582" t="str">
        <f>"23-AFFIDAMENTO DIRETTO"</f>
        <v>23-AFFIDAMENTO DIRETTO</v>
      </c>
      <c r="K582" t="str">
        <f>"10/03/2021"</f>
        <v>10/03/2021</v>
      </c>
      <c r="L582" t="str">
        <f>"31/12/2021"</f>
        <v>31/12/2021</v>
      </c>
      <c r="M582" t="str">
        <f>""</f>
        <v/>
      </c>
      <c r="N582" t="str">
        <f>"VOLPE FRANCESCO"</f>
        <v>VOLPE FRANCESCO</v>
      </c>
      <c r="O582" t="str">
        <f>"VOLPE FRANCESCO"</f>
        <v>VOLPE FRANCESCO</v>
      </c>
      <c r="P582" t="str">
        <f>"Z0C2D57E91: [4160.00€ ]"</f>
        <v>Z0C2D57E91: [4160.00€ ]</v>
      </c>
      <c r="Q582" t="str">
        <f>""</f>
        <v/>
      </c>
      <c r="R582" t="str">
        <f>""</f>
        <v/>
      </c>
      <c r="S582" t="str">
        <f>""</f>
        <v/>
      </c>
      <c r="T582" t="str">
        <f>"https://portaletrasparenza.consorziobacchiglione.it/dettagli/attodigara/213/attivita-di-consulenza-legale-continuativa-per-l-anno-2016-all-u-t-per-i-ll-pp-e-per-le-espropriazioni-per-p-u-relativa-all-anno-2016-processo-id-002-16.html"</f>
        <v>https://portaletrasparenza.consorziobacchiglione.it/dettagli/attodigara/213/attivita-di-consulenza-legale-continuativa-per-l-anno-2016-all-u-t-per-i-ll-pp-e-per-le-espropriazioni-per-p-u-relativa-all-anno-2016-processo-id-002-16.html</v>
      </c>
      <c r="U582" t="str">
        <f>""</f>
        <v/>
      </c>
      <c r="V582">
        <f>(SUBSTITUTE(Tabella1[[#This Row],[Importo di aggiudicazione]],".",","))-(SUBSTITUTE(  SUBSTITUTE(          SUBSTITUTE(Tabella1[[#This Row],[Dettaglio somme liquidate]],Tabella1[[#This Row],[CIG]]&amp;": [",""),"€ ]",""),".",","))</f>
        <v>6240</v>
      </c>
    </row>
    <row r="583" spans="1:22" x14ac:dyDescent="0.3">
      <c r="A583" t="str">
        <f>"Affidamento"</f>
        <v>Affidamento</v>
      </c>
      <c r="B583" t="str">
        <f>"Lavaggio interno ed esterno distributori mobili N.1, N.2, N.3, N4 per collaudo"</f>
        <v>Lavaggio interno ed esterno distributori mobili N.1, N.2, N.3, N4 per collaudo</v>
      </c>
      <c r="C583" t="str">
        <f>"Z7130F3CDD"</f>
        <v>Z7130F3CDD</v>
      </c>
      <c r="D583" t="str">
        <f>"10/03/2021"</f>
        <v>10/03/2021</v>
      </c>
      <c r="E583" t="str">
        <f>""</f>
        <v/>
      </c>
      <c r="F583" t="str">
        <f>""</f>
        <v/>
      </c>
      <c r="G583" t="str">
        <f>"536.00"</f>
        <v>536.00</v>
      </c>
      <c r="H583" t="str">
        <f>"Consorzio di bonifica Bacchiglione"</f>
        <v>Consorzio di bonifica Bacchiglione</v>
      </c>
      <c r="I583" t="str">
        <f>"92223390284"</f>
        <v>92223390284</v>
      </c>
      <c r="J583" t="str">
        <f>"23-AFFIDAMENTO DIRETTO"</f>
        <v>23-AFFIDAMENTO DIRETTO</v>
      </c>
      <c r="K583" t="str">
        <f>"10/03/2021"</f>
        <v>10/03/2021</v>
      </c>
      <c r="L583" t="str">
        <f>"26/04/2021"</f>
        <v>26/04/2021</v>
      </c>
      <c r="M583" t="str">
        <f>""</f>
        <v/>
      </c>
      <c r="N583" t="str">
        <f>"Officina Biesse S.n.c. Via Matteotti 24 35020 Arzergrande PD"</f>
        <v>Officina Biesse S.n.c. Via Matteotti 24 35020 Arzergrande PD</v>
      </c>
      <c r="O583" t="str">
        <f>"Officina Biesse S.n.c. Via Matteotti 24 35020 Arzergrande PD"</f>
        <v>Officina Biesse S.n.c. Via Matteotti 24 35020 Arzergrande PD</v>
      </c>
      <c r="P583" t="str">
        <f>"Z7130F3CDD: [536.00€ ]"</f>
        <v>Z7130F3CDD: [536.00€ ]</v>
      </c>
      <c r="Q583" t="str">
        <f>""</f>
        <v/>
      </c>
      <c r="R583" t="str">
        <f>""</f>
        <v/>
      </c>
      <c r="S583" t="str">
        <f>""</f>
        <v/>
      </c>
      <c r="T583" t="str">
        <f>"https://portaletrasparenza.consorziobacchiglione.it/dettagli/attodigara/6686/lavaggio-interno-ed-esterno-distributori-mobili-n-1-n-2-n-3-n4-per-collaudo.html"</f>
        <v>https://portaletrasparenza.consorziobacchiglione.it/dettagli/attodigara/6686/lavaggio-interno-ed-esterno-distributori-mobili-n-1-n-2-n-3-n4-per-collaudo.html</v>
      </c>
      <c r="U583" t="str">
        <f>"https://portaletrasparenza.consorziobacchiglione.it/download/attodigara/6686/63ac45686a07c.PDF"</f>
        <v>https://portaletrasparenza.consorziobacchiglione.it/download/attodigara/6686/63ac45686a07c.PDF</v>
      </c>
      <c r="V58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84" spans="1:22" x14ac:dyDescent="0.3">
      <c r="A584" t="str">
        <f>"Affidamento"</f>
        <v>Affidamento</v>
      </c>
      <c r="B584" t="str">
        <f>"Manutenzione e riparazione mezzo targato: AKB005"</f>
        <v>Manutenzione e riparazione mezzo targato: AKB005</v>
      </c>
      <c r="C584" t="str">
        <f>"Z8230F399A"</f>
        <v>Z8230F399A</v>
      </c>
      <c r="D584" t="str">
        <f>"10/03/2021"</f>
        <v>10/03/2021</v>
      </c>
      <c r="E584" t="str">
        <f>""</f>
        <v/>
      </c>
      <c r="F584" t="str">
        <f>""</f>
        <v/>
      </c>
      <c r="G584" t="str">
        <f>"890.00"</f>
        <v>890.00</v>
      </c>
      <c r="H584" t="str">
        <f>"Consorzio di bonifica Bacchiglione"</f>
        <v>Consorzio di bonifica Bacchiglione</v>
      </c>
      <c r="I584" t="str">
        <f>"92223390284"</f>
        <v>92223390284</v>
      </c>
      <c r="J584" t="str">
        <f>"23-AFFIDAMENTO DIRETTO"</f>
        <v>23-AFFIDAMENTO DIRETTO</v>
      </c>
      <c r="K584" t="str">
        <f>"10/03/2021"</f>
        <v>10/03/2021</v>
      </c>
      <c r="L584" t="str">
        <f>"26/04/2021"</f>
        <v>26/04/2021</v>
      </c>
      <c r="M584" t="str">
        <f>""</f>
        <v/>
      </c>
      <c r="N584" t="str">
        <f>"Officina Biesse S.n.c. Via Matteotti 24 35020 Arzergrande PD"</f>
        <v>Officina Biesse S.n.c. Via Matteotti 24 35020 Arzergrande PD</v>
      </c>
      <c r="O584" t="str">
        <f>"Officina Biesse S.n.c. Via Matteotti 24 35020 Arzergrande PD"</f>
        <v>Officina Biesse S.n.c. Via Matteotti 24 35020 Arzergrande PD</v>
      </c>
      <c r="P584" t="str">
        <f>"Z8230F399A: [890.00€ ]"</f>
        <v>Z8230F399A: [890.00€ ]</v>
      </c>
      <c r="Q584" t="str">
        <f>""</f>
        <v/>
      </c>
      <c r="R584" t="str">
        <f>""</f>
        <v/>
      </c>
      <c r="S584" t="str">
        <f>""</f>
        <v/>
      </c>
      <c r="T584" t="str">
        <f>"https://portaletrasparenza.consorziobacchiglione.it/dettagli/attodigara/6685/manutenzione-e-riparazione-mezzo-targato-akb005.html"</f>
        <v>https://portaletrasparenza.consorziobacchiglione.it/dettagli/attodigara/6685/manutenzione-e-riparazione-mezzo-targato-akb005.html</v>
      </c>
      <c r="U584" t="str">
        <f>"https://portaletrasparenza.consorziobacchiglione.it/download/attodigara/6685/63ac456831a52.PDF"</f>
        <v>https://portaletrasparenza.consorziobacchiglione.it/download/attodigara/6685/63ac456831a52.PDF</v>
      </c>
      <c r="V5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85" spans="1:22" x14ac:dyDescent="0.3">
      <c r="A585" t="str">
        <f>"Affidamento"</f>
        <v>Affidamento</v>
      </c>
      <c r="B585" t="str">
        <f>"Riparazione vibroinfissore piantapalo completo di pinza idraulica"</f>
        <v>Riparazione vibroinfissore piantapalo completo di pinza idraulica</v>
      </c>
      <c r="C585" t="str">
        <f>"ZF330F2EE1"</f>
        <v>ZF330F2EE1</v>
      </c>
      <c r="D585" t="str">
        <f>"10/03/2021"</f>
        <v>10/03/2021</v>
      </c>
      <c r="E585" t="str">
        <f>""</f>
        <v/>
      </c>
      <c r="F585" t="str">
        <f>""</f>
        <v/>
      </c>
      <c r="G585" t="str">
        <f>"1670.00"</f>
        <v>1670.00</v>
      </c>
      <c r="H585" t="str">
        <f>"Consorzio di bonifica Bacchiglione"</f>
        <v>Consorzio di bonifica Bacchiglione</v>
      </c>
      <c r="I585" t="str">
        <f>"92223390284"</f>
        <v>92223390284</v>
      </c>
      <c r="J585" t="str">
        <f>"23-AFFIDAMENTO DIRETTO"</f>
        <v>23-AFFIDAMENTO DIRETTO</v>
      </c>
      <c r="K585" t="str">
        <f>"10/03/2021"</f>
        <v>10/03/2021</v>
      </c>
      <c r="L585" t="str">
        <f>"20/04/2021"</f>
        <v>20/04/2021</v>
      </c>
      <c r="M585" t="str">
        <f>""</f>
        <v/>
      </c>
      <c r="N585" t="str">
        <f>"Sorme s.n.c. Via Monache 21 35030 Selvazzano Dentro PD"</f>
        <v>Sorme s.n.c. Via Monache 21 35030 Selvazzano Dentro PD</v>
      </c>
      <c r="O585" t="str">
        <f>"Sorme s.n.c. Via Monache 21 35030 Selvazzano Dentro PD"</f>
        <v>Sorme s.n.c. Via Monache 21 35030 Selvazzano Dentro PD</v>
      </c>
      <c r="P585" t="str">
        <f>"ZF330F2EE1: [1670.00€ ]"</f>
        <v>ZF330F2EE1: [1670.00€ ]</v>
      </c>
      <c r="Q585" t="str">
        <f>""</f>
        <v/>
      </c>
      <c r="R585" t="str">
        <f>""</f>
        <v/>
      </c>
      <c r="S585" t="str">
        <f>""</f>
        <v/>
      </c>
      <c r="T585" t="str">
        <f>"https://portaletrasparenza.consorziobacchiglione.it/dettagli/attodigara/6684/riparazione-vibroinfissore-piantapalo-completo-di-pinza-idraulica.html"</f>
        <v>https://portaletrasparenza.consorziobacchiglione.it/dettagli/attodigara/6684/riparazione-vibroinfissore-piantapalo-completo-di-pinza-idraulica.html</v>
      </c>
      <c r="U585" t="str">
        <f>"https://portaletrasparenza.consorziobacchiglione.it/download/attodigara/6684/63ac4567ed760.PDF"</f>
        <v>https://portaletrasparenza.consorziobacchiglione.it/download/attodigara/6684/63ac4567ed760.PDF</v>
      </c>
      <c r="V5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86" spans="1:22" x14ac:dyDescent="0.3">
      <c r="A586" t="str">
        <f>"Affidamento"</f>
        <v>Affidamento</v>
      </c>
      <c r="B586" t="str">
        <f>"Noleggio mototrivella per ripristino recinzione lungo lo scolo Acque Straniere"</f>
        <v>Noleggio mototrivella per ripristino recinzione lungo lo scolo Acque Straniere</v>
      </c>
      <c r="C586" t="str">
        <f>"Z4B30F424F"</f>
        <v>Z4B30F424F</v>
      </c>
      <c r="D586" t="str">
        <f>"11/03/2021"</f>
        <v>11/03/2021</v>
      </c>
      <c r="E586" t="str">
        <f>""</f>
        <v/>
      </c>
      <c r="F586" t="str">
        <f>""</f>
        <v/>
      </c>
      <c r="G586" t="str">
        <f>"80.00"</f>
        <v>80.00</v>
      </c>
      <c r="H586" t="str">
        <f>"Consorzio di bonifica Bacchiglione"</f>
        <v>Consorzio di bonifica Bacchiglione</v>
      </c>
      <c r="I586" t="str">
        <f>"92223390284"</f>
        <v>92223390284</v>
      </c>
      <c r="J586" t="str">
        <f>"23-AFFIDAMENTO DIRETTO"</f>
        <v>23-AFFIDAMENTO DIRETTO</v>
      </c>
      <c r="K586" t="str">
        <f>"10/03/2021"</f>
        <v>10/03/2021</v>
      </c>
      <c r="L586" t="str">
        <f>"16/03/2021"</f>
        <v>16/03/2021</v>
      </c>
      <c r="M586" t="str">
        <f>""</f>
        <v/>
      </c>
      <c r="N586" t="str">
        <f>"Nolo Piovese s.r.l. Via Padana 34 35020 S. Angelo di Piove PD"</f>
        <v>Nolo Piovese s.r.l. Via Padana 34 35020 S. Angelo di Piove PD</v>
      </c>
      <c r="O586" t="str">
        <f>"Nolo Piovese s.r.l. Via Padana 34 35020 S. Angelo di Piove PD"</f>
        <v>Nolo Piovese s.r.l. Via Padana 34 35020 S. Angelo di Piove PD</v>
      </c>
      <c r="P586" t="str">
        <f>"Z4B30F424F: [80.00€ ]"</f>
        <v>Z4B30F424F: [80.00€ ]</v>
      </c>
      <c r="Q586" t="str">
        <f>""</f>
        <v/>
      </c>
      <c r="R586" t="str">
        <f>""</f>
        <v/>
      </c>
      <c r="S586" t="str">
        <f>""</f>
        <v/>
      </c>
      <c r="T586" t="str">
        <f>"https://portaletrasparenza.consorziobacchiglione.it/dettagli/attodigara/6687/noleggio-mototrivella-per-ripristino-recinzione-lungo-lo-scolo-acque-straniere.html"</f>
        <v>https://portaletrasparenza.consorziobacchiglione.it/dettagli/attodigara/6687/noleggio-mototrivella-per-ripristino-recinzione-lungo-lo-scolo-acque-straniere.html</v>
      </c>
      <c r="U586" t="str">
        <f>"https://portaletrasparenza.consorziobacchiglione.it/download/attodigara/6687/63ac4568a259b.PDF"</f>
        <v>https://portaletrasparenza.consorziobacchiglione.it/download/attodigara/6687/63ac4568a259b.PDF</v>
      </c>
      <c r="V58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87" spans="1:22" x14ac:dyDescent="0.3">
      <c r="A587" t="str">
        <f>"Affidamento"</f>
        <v>Affidamento</v>
      </c>
      <c r="B587" t="str">
        <f>"ID 013-19 Spostamento linea Rete Gas al fine di eseguire le lavorazioni principali"</f>
        <v>ID 013-19 Spostamento linea Rete Gas al fine di eseguire le lavorazioni principali</v>
      </c>
      <c r="C587" t="str">
        <f>"Z2630F4BF2"</f>
        <v>Z2630F4BF2</v>
      </c>
      <c r="D587" t="str">
        <f>"15/03/2021"</f>
        <v>15/03/2021</v>
      </c>
      <c r="E587" t="str">
        <f>""</f>
        <v/>
      </c>
      <c r="F587" t="str">
        <f>""</f>
        <v/>
      </c>
      <c r="G587" t="str">
        <f>"11314.97"</f>
        <v>11314.97</v>
      </c>
      <c r="H587" t="str">
        <f>"Consorzio di bonifica Bacchiglione"</f>
        <v>Consorzio di bonifica Bacchiglione</v>
      </c>
      <c r="I587" t="str">
        <f>"92223390284"</f>
        <v>92223390284</v>
      </c>
      <c r="J587" t="str">
        <f>"23-AFFIDAMENTO DIRETTO"</f>
        <v>23-AFFIDAMENTO DIRETTO</v>
      </c>
      <c r="K587" t="str">
        <f>"10/03/2021"</f>
        <v>10/03/2021</v>
      </c>
      <c r="L587" t="str">
        <f>"31/05/2021"</f>
        <v>31/05/2021</v>
      </c>
      <c r="M587" t="str">
        <f>""</f>
        <v/>
      </c>
      <c r="N587" t="str">
        <f>"AP Reti Gas NordEst"</f>
        <v>AP Reti Gas NordEst</v>
      </c>
      <c r="O587" t="str">
        <f>"AP Reti Gas NordEst"</f>
        <v>AP Reti Gas NordEst</v>
      </c>
      <c r="P587" t="str">
        <f>"Z2630F4BF2: [11314.97€ ]"</f>
        <v>Z2630F4BF2: [11314.97€ ]</v>
      </c>
      <c r="Q587" t="str">
        <f>""</f>
        <v/>
      </c>
      <c r="R587" t="str">
        <f>""</f>
        <v/>
      </c>
      <c r="S587" t="str">
        <f>""</f>
        <v/>
      </c>
      <c r="T587" t="str">
        <f>"https://portaletrasparenza.consorziobacchiglione.it/dettagli/attodigara/6688/id-013-19-spostamento-linea-rete-gas-al-fine-di-eseguire-le-lavorazioni-principali.html"</f>
        <v>https://portaletrasparenza.consorziobacchiglione.it/dettagli/attodigara/6688/id-013-19-spostamento-linea-rete-gas-al-fine-di-eseguire-le-lavorazioni-principali.html</v>
      </c>
      <c r="U587" t="str">
        <f>"https://portaletrasparenza.consorziobacchiglione.it/download/attodigara/6688/63ac456b746b3.PDF"</f>
        <v>https://portaletrasparenza.consorziobacchiglione.it/download/attodigara/6688/63ac456b746b3.PDF</v>
      </c>
      <c r="V5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88" spans="1:22" x14ac:dyDescent="0.3">
      <c r="A588" t="str">
        <f>"Affidamento"</f>
        <v>Affidamento</v>
      </c>
      <c r="B588" t="str">
        <f>"Sostituzione olio motore sintetico più olio ingranaggi assali del mezzo targato: ALA152"</f>
        <v>Sostituzione olio motore sintetico più olio ingranaggi assali del mezzo targato: ALA152</v>
      </c>
      <c r="C588" t="str">
        <f>"Z95314E4EA"</f>
        <v>Z95314E4EA</v>
      </c>
      <c r="D588" t="str">
        <f>"10/04/2021"</f>
        <v>10/04/2021</v>
      </c>
      <c r="E588" t="str">
        <f>""</f>
        <v/>
      </c>
      <c r="F588" t="str">
        <f>""</f>
        <v/>
      </c>
      <c r="G588" t="str">
        <f>"1374.43"</f>
        <v>1374.43</v>
      </c>
      <c r="H588" t="str">
        <f>"Consorzio di bonifica Bacchiglione"</f>
        <v>Consorzio di bonifica Bacchiglione</v>
      </c>
      <c r="I588" t="str">
        <f>"92223390284"</f>
        <v>92223390284</v>
      </c>
      <c r="J588" t="str">
        <f>"23-AFFIDAMENTO DIRETTO"</f>
        <v>23-AFFIDAMENTO DIRETTO</v>
      </c>
      <c r="K588" t="str">
        <f>"10/04/2021"</f>
        <v>10/04/2021</v>
      </c>
      <c r="L588" t="str">
        <f>"04/06/2021"</f>
        <v>04/06/2021</v>
      </c>
      <c r="M588" t="str">
        <f>""</f>
        <v/>
      </c>
      <c r="N588" t="str">
        <f>"Adriatica Commerciale Macchine s.r.l. Via dell'Artigianato 5 35020 Due Carrare PD"</f>
        <v>Adriatica Commerciale Macchine s.r.l. Via dell'Artigianato 5 35020 Due Carrare PD</v>
      </c>
      <c r="O588" t="str">
        <f>"Adriatica Commerciale Macchine s.r.l. Via dell'Artigianato 5 35020 Due Carrare PD"</f>
        <v>Adriatica Commerciale Macchine s.r.l. Via dell'Artigianato 5 35020 Due Carrare PD</v>
      </c>
      <c r="P588" t="str">
        <f>"Z95314E4EA: [1374.43€ ]"</f>
        <v>Z95314E4EA: [1374.43€ ]</v>
      </c>
      <c r="Q588" t="str">
        <f>""</f>
        <v/>
      </c>
      <c r="R588" t="str">
        <f>""</f>
        <v/>
      </c>
      <c r="S588" t="str">
        <f>""</f>
        <v/>
      </c>
      <c r="T588" t="str">
        <f>"https://portaletrasparenza.consorziobacchiglione.it/dettagli/attodigara/6785/sostituzione-olio-motore-sintetico-piu-olio-ingranaggi-assali-del-mezzo-targato-ala152.html"</f>
        <v>https://portaletrasparenza.consorziobacchiglione.it/dettagli/attodigara/6785/sostituzione-olio-motore-sintetico-piu-olio-ingranaggi-assali-del-mezzo-targato-ala152.html</v>
      </c>
      <c r="U588" t="str">
        <f>"https://portaletrasparenza.consorziobacchiglione.it/download/attodigara/6785/63ac457bf01a2.PDF"</f>
        <v>https://portaletrasparenza.consorziobacchiglione.it/download/attodigara/6785/63ac457bf01a2.PDF</v>
      </c>
      <c r="V58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89" spans="1:22" x14ac:dyDescent="0.3">
      <c r="A589" t="str">
        <f>"Affidamento"</f>
        <v>Affidamento</v>
      </c>
      <c r="B589" t="str">
        <f>"Attivazione modulo amministrazione trasparente e whistleblowing triennio 2021-2023"</f>
        <v>Attivazione modulo amministrazione trasparente e whistleblowing triennio 2021-2023</v>
      </c>
      <c r="C589" t="str">
        <f>"ZE7314EA59"</f>
        <v>ZE7314EA59</v>
      </c>
      <c r="D589" t="str">
        <f>"10/04/2021"</f>
        <v>10/04/2021</v>
      </c>
      <c r="E589" t="str">
        <f>""</f>
        <v/>
      </c>
      <c r="F589" t="str">
        <f>""</f>
        <v/>
      </c>
      <c r="G589" t="str">
        <f>"7090.00"</f>
        <v>7090.00</v>
      </c>
      <c r="H589" t="str">
        <f>"Consorzio di bonifica Bacchiglione"</f>
        <v>Consorzio di bonifica Bacchiglione</v>
      </c>
      <c r="I589" t="str">
        <f>"92223390284"</f>
        <v>92223390284</v>
      </c>
      <c r="J589" t="str">
        <f>"23-AFFIDAMENTO DIRETTO"</f>
        <v>23-AFFIDAMENTO DIRETTO</v>
      </c>
      <c r="K589" t="str">
        <f>"10/04/2021"</f>
        <v>10/04/2021</v>
      </c>
      <c r="L589" t="str">
        <f>"31/12/2021"</f>
        <v>31/12/2021</v>
      </c>
      <c r="M589" t="str">
        <f>""</f>
        <v/>
      </c>
      <c r="N589" t="str">
        <f>"MAGGIOLI S.P.A. | DIGITALPA S.R.L."</f>
        <v>MAGGIOLI S.P.A. | DIGITALPA S.R.L.</v>
      </c>
      <c r="O589" t="str">
        <f>"DIGITALPA S.R.L."</f>
        <v>DIGITALPA S.R.L.</v>
      </c>
      <c r="P589" t="str">
        <f>"ZE7314EA59: [7090.00€ ]"</f>
        <v>ZE7314EA59: [7090.00€ ]</v>
      </c>
      <c r="Q589" t="str">
        <f>""</f>
        <v/>
      </c>
      <c r="R589" t="str">
        <f>""</f>
        <v/>
      </c>
      <c r="S589" t="str">
        <f>""</f>
        <v/>
      </c>
      <c r="T589" t="str">
        <f>"https://portaletrasparenza.consorziobacchiglione.it/dettagli/attodigara/6784/attivazione-modulo-amministrazione-trasparente-e-whistleblowing-triennio-2021-2023.html"</f>
        <v>https://portaletrasparenza.consorziobacchiglione.it/dettagli/attodigara/6784/attivazione-modulo-amministrazione-trasparente-e-whistleblowing-triennio-2021-2023.html</v>
      </c>
      <c r="U589" t="str">
        <f>"https://portaletrasparenza.consorziobacchiglione.it/download/attodigara/6784/63ac457c35141.PDF"</f>
        <v>https://portaletrasparenza.consorziobacchiglione.it/download/attodigara/6784/63ac457c35141.PDF</v>
      </c>
      <c r="V5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90" spans="1:22" x14ac:dyDescent="0.3">
      <c r="A590" t="str">
        <f>"Affidamento"</f>
        <v>Affidamento</v>
      </c>
      <c r="B590" t="str">
        <f>"Servizio di connessione al nodo dei pagamenti SPC mediante Easybridge e pagaonline PA anno 2021 con opzione unilaterale anno 2022"</f>
        <v>Servizio di connessione al nodo dei pagamenti SPC mediante Easybridge e pagaonline PA anno 2021 con opzione unilaterale anno 2022</v>
      </c>
      <c r="C590" t="str">
        <f>"8674862296"</f>
        <v>8674862296</v>
      </c>
      <c r="D590" t="str">
        <f>"10/04/2021"</f>
        <v>10/04/2021</v>
      </c>
      <c r="E590" t="str">
        <f>""</f>
        <v/>
      </c>
      <c r="F590" t="str">
        <f>""</f>
        <v/>
      </c>
      <c r="G590" t="str">
        <f>"39600.00"</f>
        <v>39600.00</v>
      </c>
      <c r="H590" t="str">
        <f>"Consorzio di bonifica Bacchiglione"</f>
        <v>Consorzio di bonifica Bacchiglione</v>
      </c>
      <c r="I590" t="str">
        <f>"92223390284"</f>
        <v>92223390284</v>
      </c>
      <c r="J590" t="str">
        <f>"23-AFFIDAMENTO DIRETTO"</f>
        <v>23-AFFIDAMENTO DIRETTO</v>
      </c>
      <c r="K590" t="str">
        <f>"10/04/2021"</f>
        <v>10/04/2021</v>
      </c>
      <c r="L590" t="str">
        <f>"08/07/2022"</f>
        <v>08/07/2022</v>
      </c>
      <c r="M590" t="str">
        <f>""</f>
        <v/>
      </c>
      <c r="N590" t="str">
        <f>"PROGETTI E SOLUZIONI S.p.A."</f>
        <v>PROGETTI E SOLUZIONI S.p.A.</v>
      </c>
      <c r="O590" t="str">
        <f>"PROGETTI E SOLUZIONI S.p.A."</f>
        <v>PROGETTI E SOLUZIONI S.p.A.</v>
      </c>
      <c r="P590" t="str">
        <f>"8674862296: [39600.00€ ]"</f>
        <v>8674862296: [39600.00€ ]</v>
      </c>
      <c r="Q590" t="str">
        <f>""</f>
        <v/>
      </c>
      <c r="R590" t="str">
        <f>""</f>
        <v/>
      </c>
      <c r="S590" t="str">
        <f>""</f>
        <v/>
      </c>
      <c r="T590" t="str">
        <f>"https://portaletrasparenza.consorziobacchiglione.it/dettagli/attodigara/6783/servizio-di-connessione-al-nodo-dei-pagamenti-spc-mediante-easybridge-e-pagaonline-pa-anno-2021-con-opzione-unilaterale-anno-2022.html"</f>
        <v>https://portaletrasparenza.consorziobacchiglione.it/dettagli/attodigara/6783/servizio-di-connessione-al-nodo-dei-pagamenti-spc-mediante-easybridge-e-pagaonline-pa-anno-2021-con-opzione-unilaterale-anno-2022.html</v>
      </c>
      <c r="U590" t="str">
        <f>"https://portaletrasparenza.consorziobacchiglione.it/download/attodigara/6783/62a209cbd4a37.PDF"</f>
        <v>https://portaletrasparenza.consorziobacchiglione.it/download/attodigara/6783/62a209cbd4a37.PDF</v>
      </c>
      <c r="V5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91" spans="1:22" x14ac:dyDescent="0.3">
      <c r="A591" t="str">
        <f>"Affidamento"</f>
        <v>Affidamento</v>
      </c>
      <c r="B591" t="str">
        <f>"Fornitura MC 3 di calcestruzzo RCK 250 S4 per lavori presso Roggia Boschettona Nord"</f>
        <v>Fornitura MC 3 di calcestruzzo RCK 250 S4 per lavori presso Roggia Boschettona Nord</v>
      </c>
      <c r="C591" t="str">
        <f>"Z15314E5B6"</f>
        <v>Z15314E5B6</v>
      </c>
      <c r="D591" t="str">
        <f>"10/04/2021"</f>
        <v>10/04/2021</v>
      </c>
      <c r="E591" t="str">
        <f>""</f>
        <v/>
      </c>
      <c r="F591" t="str">
        <f>""</f>
        <v/>
      </c>
      <c r="G591" t="str">
        <f>"220.50"</f>
        <v>220.50</v>
      </c>
      <c r="H591" t="str">
        <f>"Consorzio di bonifica Bacchiglione"</f>
        <v>Consorzio di bonifica Bacchiglione</v>
      </c>
      <c r="I591" t="str">
        <f>"92223390284"</f>
        <v>92223390284</v>
      </c>
      <c r="J591" t="str">
        <f>"23-AFFIDAMENTO DIRETTO"</f>
        <v>23-AFFIDAMENTO DIRETTO</v>
      </c>
      <c r="K591" t="str">
        <f>"10/04/2021"</f>
        <v>10/04/2021</v>
      </c>
      <c r="L591" t="str">
        <f>"10/04/2021"</f>
        <v>10/04/2021</v>
      </c>
      <c r="M591" t="str">
        <f>""</f>
        <v/>
      </c>
      <c r="N591" t="str">
        <f>"Zagolin Giovanni s.r.l. Via Gelsi 56 35028 Piove di Sacco PD"</f>
        <v>Zagolin Giovanni s.r.l. Via Gelsi 56 35028 Piove di Sacco PD</v>
      </c>
      <c r="O591" t="str">
        <f>"Zagolin Giovanni s.r.l. Via Gelsi 56 35028 Piove di Sacco PD"</f>
        <v>Zagolin Giovanni s.r.l. Via Gelsi 56 35028 Piove di Sacco PD</v>
      </c>
      <c r="P591" t="str">
        <f>"Z15314E5B6: [0.00€ ]"</f>
        <v>Z15314E5B6: [0.00€ ]</v>
      </c>
      <c r="Q591" t="str">
        <f>""</f>
        <v/>
      </c>
      <c r="R591" t="str">
        <f>""</f>
        <v/>
      </c>
      <c r="S591" t="str">
        <f>""</f>
        <v/>
      </c>
      <c r="T591" t="str">
        <f>"https://portaletrasparenza.consorziobacchiglione.it/dettagli/attodigara/6786/fornitura-mc-3-di-calcestruzzo-rck-250-s4-per-lavori-presso-roggia-boschettona-nord.html"</f>
        <v>https://portaletrasparenza.consorziobacchiglione.it/dettagli/attodigara/6786/fornitura-mc-3-di-calcestruzzo-rck-250-s4-per-lavori-presso-roggia-boschettona-nord.html</v>
      </c>
      <c r="U591" t="str">
        <f>"https://portaletrasparenza.consorziobacchiglione.it/download/attodigara/6786/62a209ceae8f4.PDF"</f>
        <v>https://portaletrasparenza.consorziobacchiglione.it/download/attodigara/6786/62a209ceae8f4.PDF</v>
      </c>
      <c r="V591">
        <f>(SUBSTITUTE(Tabella1[[#This Row],[Importo di aggiudicazione]],".",","))-(SUBSTITUTE(  SUBSTITUTE(          SUBSTITUTE(Tabella1[[#This Row],[Dettaglio somme liquidate]],Tabella1[[#This Row],[CIG]]&amp;": [",""),"€ ]",""),".",","))</f>
        <v>220.5</v>
      </c>
    </row>
    <row r="592" spans="1:22" x14ac:dyDescent="0.3">
      <c r="A592" t="str">
        <f>"Affidamento"</f>
        <v>Affidamento</v>
      </c>
      <c r="B592" t="str">
        <f>"Realizzazione del Nuovo Sito Internet - Determina con opzione unilaterale per attivare l'alimentare automatizzata l'Albo On Line"</f>
        <v>Realizzazione del Nuovo Sito Internet - Determina con opzione unilaterale per attivare l'alimentare automatizzata l'Albo On Line</v>
      </c>
      <c r="C592" t="str">
        <f>"ZAD314E776"</f>
        <v>ZAD314E776</v>
      </c>
      <c r="D592" t="str">
        <f>"12/04/2021"</f>
        <v>12/04/2021</v>
      </c>
      <c r="E592" t="str">
        <f>""</f>
        <v/>
      </c>
      <c r="F592" t="str">
        <f>""</f>
        <v/>
      </c>
      <c r="G592" t="str">
        <f>"10410.00"</f>
        <v>10410.00</v>
      </c>
      <c r="H592" t="str">
        <f>"Consorzio di bonifica Bacchiglione"</f>
        <v>Consorzio di bonifica Bacchiglione</v>
      </c>
      <c r="I592" t="str">
        <f>"92223390284"</f>
        <v>92223390284</v>
      </c>
      <c r="J592" t="str">
        <f>"23-AFFIDAMENTO DIRETTO"</f>
        <v>23-AFFIDAMENTO DIRETTO</v>
      </c>
      <c r="K592" t="str">
        <f>"10/04/2021"</f>
        <v>10/04/2021</v>
      </c>
      <c r="L592" t="str">
        <f>"31/12/2021"</f>
        <v>31/12/2021</v>
      </c>
      <c r="M592" t="str">
        <f>""</f>
        <v/>
      </c>
      <c r="N592" t="str">
        <f>"DigitalPA s.r.l. Via San Tommaso D'Aquino 18-a - 09134 Cagliari"</f>
        <v>DigitalPA s.r.l. Via San Tommaso D'Aquino 18-a - 09134 Cagliari</v>
      </c>
      <c r="O592" t="str">
        <f>"DigitalPA s.r.l. Via San Tommaso D'Aquino 18-a - 09134 Cagliari"</f>
        <v>DigitalPA s.r.l. Via San Tommaso D'Aquino 18-a - 09134 Cagliari</v>
      </c>
      <c r="P592" t="str">
        <f>"ZAD314E776: [8910.00€ ]"</f>
        <v>ZAD314E776: [8910.00€ ]</v>
      </c>
      <c r="Q592" t="str">
        <f>""</f>
        <v/>
      </c>
      <c r="R592" t="str">
        <f>""</f>
        <v/>
      </c>
      <c r="S592" t="str">
        <f>""</f>
        <v/>
      </c>
      <c r="T592" t="str">
        <f>"https://portaletrasparenza.consorziobacchiglione.it/dettagli/attodigara/6787/realizzazione-del-nuovo-sito-internet-determina-con-opzione-unilaterale-per-attivare-l-alimentare-automatizzata-l-albo-on-line.html"</f>
        <v>https://portaletrasparenza.consorziobacchiglione.it/dettagli/attodigara/6787/realizzazione-del-nuovo-sito-internet-determina-con-opzione-unilaterale-per-attivare-l-alimentare-automatizzata-l-albo-on-line.html</v>
      </c>
      <c r="U592" t="str">
        <f>"https://portaletrasparenza.consorziobacchiglione.it/download/attodigara/6787/63ac457c6d8fc.PDF"</f>
        <v>https://portaletrasparenza.consorziobacchiglione.it/download/attodigara/6787/63ac457c6d8fc.PDF</v>
      </c>
      <c r="V592">
        <f>(SUBSTITUTE(Tabella1[[#This Row],[Importo di aggiudicazione]],".",","))-(SUBSTITUTE(  SUBSTITUTE(          SUBSTITUTE(Tabella1[[#This Row],[Dettaglio somme liquidate]],Tabella1[[#This Row],[CIG]]&amp;": [",""),"€ ]",""),".",","))</f>
        <v>1500</v>
      </c>
    </row>
    <row r="593" spans="1:22" x14ac:dyDescent="0.3">
      <c r="A593" t="str">
        <f>"Affidamento"</f>
        <v>Affidamento</v>
      </c>
      <c r="B593" t="str">
        <f>"Fornitura MC 2,50 di calcestruzzo RCK 300 S4 per lavori presso cantiere in Via Magenta Ponte S.Nicolò"</f>
        <v>Fornitura MC 2,50 di calcestruzzo RCK 300 S4 per lavori presso cantiere in Via Magenta Ponte S.Nicolò</v>
      </c>
      <c r="C593" t="str">
        <f>"Z0A31A6E77"</f>
        <v>Z0A31A6E77</v>
      </c>
      <c r="D593" t="str">
        <f>"11/05/2021"</f>
        <v>11/05/2021</v>
      </c>
      <c r="E593" t="str">
        <f>""</f>
        <v/>
      </c>
      <c r="F593" t="str">
        <f>""</f>
        <v/>
      </c>
      <c r="G593" t="str">
        <f>"215.00"</f>
        <v>215.00</v>
      </c>
      <c r="H593" t="str">
        <f>"Consorzio di bonifica Bacchiglione"</f>
        <v>Consorzio di bonifica Bacchiglione</v>
      </c>
      <c r="I593" t="str">
        <f>"92223390284"</f>
        <v>92223390284</v>
      </c>
      <c r="J593" t="str">
        <f>"23-AFFIDAMENTO DIRETTO"</f>
        <v>23-AFFIDAMENTO DIRETTO</v>
      </c>
      <c r="K593" t="str">
        <f>"10/05/2021"</f>
        <v>10/05/2021</v>
      </c>
      <c r="L593" t="str">
        <f>"31/05/2021"</f>
        <v>31/05/2021</v>
      </c>
      <c r="M593" t="str">
        <f>""</f>
        <v/>
      </c>
      <c r="N593" t="str">
        <f>"Zagolin Giovanni s.r.l. Via Gelsi 56 35028 Piove di Sacco PD"</f>
        <v>Zagolin Giovanni s.r.l. Via Gelsi 56 35028 Piove di Sacco PD</v>
      </c>
      <c r="O593" t="str">
        <f>"Zagolin Giovanni s.r.l. Via Gelsi 56 35028 Piove di Sacco PD"</f>
        <v>Zagolin Giovanni s.r.l. Via Gelsi 56 35028 Piove di Sacco PD</v>
      </c>
      <c r="P593" t="str">
        <f>"Z0A31A6E77: [0.00€ ]"</f>
        <v>Z0A31A6E77: [0.00€ ]</v>
      </c>
      <c r="Q593" t="str">
        <f>""</f>
        <v/>
      </c>
      <c r="R593" t="str">
        <f>""</f>
        <v/>
      </c>
      <c r="S593" t="str">
        <f>""</f>
        <v/>
      </c>
      <c r="T593" t="str">
        <f>"https://portaletrasparenza.consorziobacchiglione.it/dettagli/attodigara/6865/fornitura-mc-2-50-di-calcestruzzo-rck-300-s4-per-lavori-presso-cantiere-in-via-magenta-ponte-s-nicolo.html"</f>
        <v>https://portaletrasparenza.consorziobacchiglione.it/dettagli/attodigara/6865/fornitura-mc-2-50-di-calcestruzzo-rck-300-s4-per-lavori-presso-cantiere-in-via-magenta-ponte-s-nicolo.html</v>
      </c>
      <c r="U593" t="str">
        <f>"https://portaletrasparenza.consorziobacchiglione.it/download/attodigara/6865/62a209f507cfa.PDF"</f>
        <v>https://portaletrasparenza.consorziobacchiglione.it/download/attodigara/6865/62a209f507cfa.PDF</v>
      </c>
      <c r="V593">
        <f>(SUBSTITUTE(Tabella1[[#This Row],[Importo di aggiudicazione]],".",","))-(SUBSTITUTE(  SUBSTITUTE(          SUBSTITUTE(Tabella1[[#This Row],[Dettaglio somme liquidate]],Tabella1[[#This Row],[CIG]]&amp;": [",""),"€ ]",""),".",","))</f>
        <v>215</v>
      </c>
    </row>
    <row r="594" spans="1:22" x14ac:dyDescent="0.3">
      <c r="A594" t="str">
        <f>"Affidamento"</f>
        <v>Affidamento</v>
      </c>
      <c r="B594" t="str">
        <f>"Revisione elettropompa KSB 11,5 KW presso Idrovora Valcittadella"</f>
        <v>Revisione elettropompa KSB 11,5 KW presso Idrovora Valcittadella</v>
      </c>
      <c r="C594" t="str">
        <f>"Z7C31B30EE"</f>
        <v>Z7C31B30EE</v>
      </c>
      <c r="D594" t="str">
        <f>"13/05/2021"</f>
        <v>13/05/2021</v>
      </c>
      <c r="E594" t="str">
        <f>""</f>
        <v/>
      </c>
      <c r="F594" t="str">
        <f>""</f>
        <v/>
      </c>
      <c r="G594" t="str">
        <f>"4164.00"</f>
        <v>4164.00</v>
      </c>
      <c r="H594" t="str">
        <f>"Consorzio di bonifica Bacchiglione"</f>
        <v>Consorzio di bonifica Bacchiglione</v>
      </c>
      <c r="I594" t="str">
        <f>"92223390284"</f>
        <v>92223390284</v>
      </c>
      <c r="J594" t="str">
        <f>"23-AFFIDAMENTO DIRETTO"</f>
        <v>23-AFFIDAMENTO DIRETTO</v>
      </c>
      <c r="K594" t="str">
        <f>"10/05/2021"</f>
        <v>10/05/2021</v>
      </c>
      <c r="L594" t="str">
        <f>"02/07/2021"</f>
        <v>02/07/2021</v>
      </c>
      <c r="M594" t="str">
        <f>""</f>
        <v/>
      </c>
      <c r="N594" t="str">
        <f>"Xylem Water Solutions Italia S.r.l. Via Gioacchino Rossini 1A 20020 Lainate MI"</f>
        <v>Xylem Water Solutions Italia S.r.l. Via Gioacchino Rossini 1A 20020 Lainate MI</v>
      </c>
      <c r="O594" t="str">
        <f>"Xylem Water Solutions Italia S.r.l. Via Gioacchino Rossini 1A 20020 Lainate MI"</f>
        <v>Xylem Water Solutions Italia S.r.l. Via Gioacchino Rossini 1A 20020 Lainate MI</v>
      </c>
      <c r="P594" t="str">
        <f>"Z7C31B30EE: [4164.00€ ]"</f>
        <v>Z7C31B30EE: [4164.00€ ]</v>
      </c>
      <c r="Q594" t="str">
        <f>""</f>
        <v/>
      </c>
      <c r="R594" t="str">
        <f>""</f>
        <v/>
      </c>
      <c r="S594" t="str">
        <f>""</f>
        <v/>
      </c>
      <c r="T594" t="str">
        <f>"https://portaletrasparenza.consorziobacchiglione.it/dettagli/attodigara/6866/revisione-elettropompa-ksb-11-5-kw-presso-idrovora-valcittadella.html"</f>
        <v>https://portaletrasparenza.consorziobacchiglione.it/dettagli/attodigara/6866/revisione-elettropompa-ksb-11-5-kw-presso-idrovora-valcittadella.html</v>
      </c>
      <c r="U594" t="str">
        <f>"https://portaletrasparenza.consorziobacchiglione.it/download/attodigara/6866/63ac458a9a289.PDF"</f>
        <v>https://portaletrasparenza.consorziobacchiglione.it/download/attodigara/6866/63ac458a9a289.PDF</v>
      </c>
      <c r="V59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95" spans="1:22" x14ac:dyDescent="0.3">
      <c r="A595" t="str">
        <f>"Affidamento"</f>
        <v>Affidamento</v>
      </c>
      <c r="B595" t="str">
        <f>"Affidamento del servizio di formazione in materia di anticorruzione anno 2016."</f>
        <v>Affidamento del servizio di formazione in materia di anticorruzione anno 2016.</v>
      </c>
      <c r="C595" t="str">
        <f>"ZCF1A405F4"</f>
        <v>ZCF1A405F4</v>
      </c>
      <c r="D595" t="str">
        <f>"04/11/2021"</f>
        <v>04/11/2021</v>
      </c>
      <c r="E595" t="str">
        <f>""</f>
        <v/>
      </c>
      <c r="F595" t="str">
        <f>""</f>
        <v/>
      </c>
      <c r="G595" t="str">
        <f>"2860.00"</f>
        <v>2860.00</v>
      </c>
      <c r="H595" t="str">
        <f>"Consorzio di bonifica Bacchiglione"</f>
        <v>Consorzio di bonifica Bacchiglione</v>
      </c>
      <c r="I595" t="str">
        <f>"92223390284"</f>
        <v>92223390284</v>
      </c>
      <c r="J595" t="str">
        <f>"23-AFFIDAMENTO DIRETTO"</f>
        <v>23-AFFIDAMENTO DIRETTO</v>
      </c>
      <c r="K595" t="str">
        <f>"10/06/2021"</f>
        <v>10/06/2021</v>
      </c>
      <c r="L595" t="str">
        <f>"09/12/2021"</f>
        <v>09/12/2021</v>
      </c>
      <c r="M595" t="str">
        <f>""</f>
        <v/>
      </c>
      <c r="N595" t="str">
        <f>"HUNEXT CONSULTING"</f>
        <v>HUNEXT CONSULTING</v>
      </c>
      <c r="O595" t="str">
        <f>"HUNEXT CONSULTING"</f>
        <v>HUNEXT CONSULTING</v>
      </c>
      <c r="P595" t="s">
        <v>269</v>
      </c>
      <c r="Q595" t="str">
        <f>""</f>
        <v/>
      </c>
      <c r="R595" t="str">
        <f>""</f>
        <v/>
      </c>
      <c r="S595" t="str">
        <f>""</f>
        <v/>
      </c>
      <c r="T595" t="str">
        <f>"https://portaletrasparenza.consorziobacchiglione.it/dettagli/attodigara/517/affidamento-del-servizio-di-formazione-in-materia-di-anticorruzione-anno-2016.html"</f>
        <v>https://portaletrasparenza.consorziobacchiglione.it/dettagli/attodigara/517/affidamento-del-servizio-di-formazione-in-materia-di-anticorruzione-anno-2016.html</v>
      </c>
      <c r="U595" t="str">
        <f>""</f>
        <v/>
      </c>
      <c r="V59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96" spans="1:22" x14ac:dyDescent="0.3">
      <c r="A596" t="str">
        <f>"Affidamento"</f>
        <v>Affidamento</v>
      </c>
      <c r="B596" t="str">
        <f>"Noleggio escavatore gommato 160 - 170 q. più vibroinfissore per lavori su scolo Altipiano."</f>
        <v>Noleggio escavatore gommato 160 - 170 q. più vibroinfissore per lavori su scolo Altipiano.</v>
      </c>
      <c r="C596" t="str">
        <f>"Z7A1A40598"</f>
        <v>Z7A1A40598</v>
      </c>
      <c r="D596" t="str">
        <f>"04/11/2021"</f>
        <v>04/11/2021</v>
      </c>
      <c r="E596" t="str">
        <f>""</f>
        <v/>
      </c>
      <c r="F596" t="str">
        <f>""</f>
        <v/>
      </c>
      <c r="G596" t="str">
        <f>"5250.00"</f>
        <v>5250.00</v>
      </c>
      <c r="H596" t="str">
        <f>"Consorzio di bonifica Bacchiglione"</f>
        <v>Consorzio di bonifica Bacchiglione</v>
      </c>
      <c r="I596" t="str">
        <f>"92223390284"</f>
        <v>92223390284</v>
      </c>
      <c r="J596" t="str">
        <f>"23-AFFIDAMENTO DIRETTO"</f>
        <v>23-AFFIDAMENTO DIRETTO</v>
      </c>
      <c r="K596" t="str">
        <f>"10/06/2021"</f>
        <v>10/06/2021</v>
      </c>
      <c r="L596" t="str">
        <f>"29/07/2021"</f>
        <v>29/07/2021</v>
      </c>
      <c r="M596" t="str">
        <f>""</f>
        <v/>
      </c>
      <c r="N596" t="str">
        <f>"Sorme Noleggi s.a.s. Via Monache 21 35030 Selvazzano Dentro PD"</f>
        <v>Sorme Noleggi s.a.s. Via Monache 21 35030 Selvazzano Dentro PD</v>
      </c>
      <c r="O596" t="str">
        <f>"Sorme Noleggi s.a.s. Via Monache 21 35030 Selvazzano Dentro PD"</f>
        <v>Sorme Noleggi s.a.s. Via Monache 21 35030 Selvazzano Dentro PD</v>
      </c>
      <c r="P596" t="str">
        <f>"Z7A1A40598: [5250.00€ ]"</f>
        <v>Z7A1A40598: [5250.00€ ]</v>
      </c>
      <c r="Q596" t="str">
        <f>""</f>
        <v/>
      </c>
      <c r="R596" t="str">
        <f>""</f>
        <v/>
      </c>
      <c r="S596" t="str">
        <f>""</f>
        <v/>
      </c>
      <c r="T596" t="str">
        <f>"https://portaletrasparenza.consorziobacchiglione.it/dettagli/attodigara/522/noleggio-escavatore-gommato-160-170-q-piu-vibroinfissore-per-lavori-su-scolo-altipiano.html"</f>
        <v>https://portaletrasparenza.consorziobacchiglione.it/dettagli/attodigara/522/noleggio-escavatore-gommato-160-170-q-piu-vibroinfissore-per-lavori-su-scolo-altipiano.html</v>
      </c>
      <c r="U596" t="str">
        <f>""</f>
        <v/>
      </c>
      <c r="V59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97" spans="1:22" x14ac:dyDescent="0.3">
      <c r="A597" t="str">
        <f>"Affidamento"</f>
        <v>Affidamento</v>
      </c>
      <c r="B597" t="str">
        <f>"Fornitura materiale elettrico per Idrovora S.Margherita ."</f>
        <v>Fornitura materiale elettrico per Idrovora S.Margherita .</v>
      </c>
      <c r="C597" t="str">
        <f>"ZA01A4050D"</f>
        <v>ZA01A4050D</v>
      </c>
      <c r="D597" t="str">
        <f>"04/11/2021"</f>
        <v>04/11/2021</v>
      </c>
      <c r="E597" t="str">
        <f>""</f>
        <v/>
      </c>
      <c r="F597" t="str">
        <f>""</f>
        <v/>
      </c>
      <c r="G597" t="str">
        <f>"433.20"</f>
        <v>433.20</v>
      </c>
      <c r="H597" t="str">
        <f>"Consorzio di bonifica Bacchiglione"</f>
        <v>Consorzio di bonifica Bacchiglione</v>
      </c>
      <c r="I597" t="str">
        <f>"92223390284"</f>
        <v>92223390284</v>
      </c>
      <c r="J597" t="str">
        <f>"23-AFFIDAMENTO DIRETTO"</f>
        <v>23-AFFIDAMENTO DIRETTO</v>
      </c>
      <c r="K597" t="str">
        <f>"10/06/2021"</f>
        <v>10/06/2021</v>
      </c>
      <c r="L597" t="str">
        <f>"29/07/2021"</f>
        <v>29/07/2021</v>
      </c>
      <c r="M597" t="str">
        <f>""</f>
        <v/>
      </c>
      <c r="N597" t="str">
        <f>"Elettroveneta S.p.A. Viale della Navigazione Interna, 48 - 35129 Padova (PD)"</f>
        <v>Elettroveneta S.p.A. Viale della Navigazione Interna, 48 - 35129 Padova (PD)</v>
      </c>
      <c r="O597" t="str">
        <f>"Elettroveneta S.p.A. Viale della Navigazione Interna, 48 - 35129 Padova (PD)"</f>
        <v>Elettroveneta S.p.A. Viale della Navigazione Interna, 48 - 35129 Padova (PD)</v>
      </c>
      <c r="P597" t="str">
        <f>"ZA01A4050D: [433.20€ ]"</f>
        <v>ZA01A4050D: [433.20€ ]</v>
      </c>
      <c r="Q597" t="str">
        <f>""</f>
        <v/>
      </c>
      <c r="R597" t="str">
        <f>""</f>
        <v/>
      </c>
      <c r="S597" t="str">
        <f>""</f>
        <v/>
      </c>
      <c r="T597" t="str">
        <f>"https://portaletrasparenza.consorziobacchiglione.it/dettagli/attodigara/521/fornitura-materiale-elettrico-per-idrovora-s-margherita.html"</f>
        <v>https://portaletrasparenza.consorziobacchiglione.it/dettagli/attodigara/521/fornitura-materiale-elettrico-per-idrovora-s-margherita.html</v>
      </c>
      <c r="U597" t="str">
        <f>""</f>
        <v/>
      </c>
      <c r="V5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98" spans="1:22" x14ac:dyDescent="0.3">
      <c r="A598" t="str">
        <f>"Affidamento"</f>
        <v>Affidamento</v>
      </c>
      <c r="B598" t="str">
        <f>"Fornitura materiale edile per C.O.S.Margherita."</f>
        <v>Fornitura materiale edile per C.O.S.Margherita.</v>
      </c>
      <c r="C598" t="str">
        <f>"Z841A4045E"</f>
        <v>Z841A4045E</v>
      </c>
      <c r="D598" t="str">
        <f>"04/11/2021"</f>
        <v>04/11/2021</v>
      </c>
      <c r="E598" t="str">
        <f>""</f>
        <v/>
      </c>
      <c r="F598" t="str">
        <f>""</f>
        <v/>
      </c>
      <c r="G598" t="str">
        <f>"170.00"</f>
        <v>170.00</v>
      </c>
      <c r="H598" t="str">
        <f>"Consorzio di bonifica Bacchiglione"</f>
        <v>Consorzio di bonifica Bacchiglione</v>
      </c>
      <c r="I598" t="str">
        <f>"92223390284"</f>
        <v>92223390284</v>
      </c>
      <c r="J598" t="str">
        <f>"23-AFFIDAMENTO DIRETTO"</f>
        <v>23-AFFIDAMENTO DIRETTO</v>
      </c>
      <c r="K598" t="str">
        <f>"10/06/2021"</f>
        <v>10/06/2021</v>
      </c>
      <c r="L598" t="str">
        <f>"10/08/2021"</f>
        <v>10/08/2021</v>
      </c>
      <c r="M598" t="str">
        <f>""</f>
        <v/>
      </c>
      <c r="N598" t="str">
        <f>"Idronord s.r.l. Via delle Industrie 3C 30036 Santa Maria Di Sala VE"</f>
        <v>Idronord s.r.l. Via delle Industrie 3C 30036 Santa Maria Di Sala VE</v>
      </c>
      <c r="O598" t="str">
        <f>"Idronord s.r.l. Via delle Industrie 3C 30036 Santa Maria Di Sala VE"</f>
        <v>Idronord s.r.l. Via delle Industrie 3C 30036 Santa Maria Di Sala VE</v>
      </c>
      <c r="P598" t="str">
        <f>"Z841A4045E: [170.00€ ]"</f>
        <v>Z841A4045E: [170.00€ ]</v>
      </c>
      <c r="Q598" t="str">
        <f>""</f>
        <v/>
      </c>
      <c r="R598" t="str">
        <f>""</f>
        <v/>
      </c>
      <c r="S598" t="str">
        <f>""</f>
        <v/>
      </c>
      <c r="T598" t="str">
        <f>"https://portaletrasparenza.consorziobacchiglione.it/dettagli/attodigara/520/fornitura-materiale-edile-per-c-o-s-margherita.html"</f>
        <v>https://portaletrasparenza.consorziobacchiglione.it/dettagli/attodigara/520/fornitura-materiale-edile-per-c-o-s-margherita.html</v>
      </c>
      <c r="U598" t="str">
        <f>""</f>
        <v/>
      </c>
      <c r="V5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599" spans="1:22" x14ac:dyDescent="0.3">
      <c r="A599" t="str">
        <f>"Affidamento"</f>
        <v>Affidamento</v>
      </c>
      <c r="B599" t="str">
        <f>"Manutenzione e riparazione mezzo con targa: AKA712"</f>
        <v>Manutenzione e riparazione mezzo con targa: AKA712</v>
      </c>
      <c r="C599" t="str">
        <f>"Z151A403DD"</f>
        <v>Z151A403DD</v>
      </c>
      <c r="D599" t="str">
        <f>"04/11/2021"</f>
        <v>04/11/2021</v>
      </c>
      <c r="E599" t="str">
        <f>""</f>
        <v/>
      </c>
      <c r="F599" t="str">
        <f>""</f>
        <v/>
      </c>
      <c r="G599" t="str">
        <f>"500.00"</f>
        <v>500.00</v>
      </c>
      <c r="H599" t="str">
        <f>"Consorzio di bonifica Bacchiglione"</f>
        <v>Consorzio di bonifica Bacchiglione</v>
      </c>
      <c r="I599" t="str">
        <f>"92223390284"</f>
        <v>92223390284</v>
      </c>
      <c r="J599" t="str">
        <f>"23-AFFIDAMENTO DIRETTO"</f>
        <v>23-AFFIDAMENTO DIRETTO</v>
      </c>
      <c r="K599" t="str">
        <f>"10/06/2021"</f>
        <v>10/06/2021</v>
      </c>
      <c r="L599" t="str">
        <f>"10/08/2021"</f>
        <v>10/08/2021</v>
      </c>
      <c r="M599" t="str">
        <f>""</f>
        <v/>
      </c>
      <c r="N599" t="str">
        <f>"ZEMI s.a.s. di Zanotto Enzo di Ruzzante Dorina Via E. Mattei 7 35020 Due Carrare PD"</f>
        <v>ZEMI s.a.s. di Zanotto Enzo di Ruzzante Dorina Via E. Mattei 7 35020 Due Carrare PD</v>
      </c>
      <c r="O599" t="str">
        <f>"ZEMI s.a.s. di Zanotto Enzo di Ruzzante Dorina Via E. Mattei 7 35020 Due Carrare PD"</f>
        <v>ZEMI s.a.s. di Zanotto Enzo di Ruzzante Dorina Via E. Mattei 7 35020 Due Carrare PD</v>
      </c>
      <c r="P599" t="str">
        <f>"Z151A403DD: [500.00€ ]"</f>
        <v>Z151A403DD: [500.00€ ]</v>
      </c>
      <c r="Q599" t="str">
        <f>""</f>
        <v/>
      </c>
      <c r="R599" t="str">
        <f>""</f>
        <v/>
      </c>
      <c r="S599" t="str">
        <f>""</f>
        <v/>
      </c>
      <c r="T599" t="str">
        <f>"https://portaletrasparenza.consorziobacchiglione.it/dettagli/attodigara/519/manutenzione-e-riparazione-mezzo-con-targa-aka712.html"</f>
        <v>https://portaletrasparenza.consorziobacchiglione.it/dettagli/attodigara/519/manutenzione-e-riparazione-mezzo-con-targa-aka712.html</v>
      </c>
      <c r="U599" t="str">
        <f>""</f>
        <v/>
      </c>
      <c r="V5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00" spans="1:22" x14ac:dyDescent="0.3">
      <c r="A600" t="str">
        <f>"Affidamento"</f>
        <v>Affidamento</v>
      </c>
      <c r="B600" t="str">
        <f>"Noleggio piattaforma, martello pneumatico, motosega a scoppio con disco widia."</f>
        <v>Noleggio piattaforma, martello pneumatico, motosega a scoppio con disco widia.</v>
      </c>
      <c r="C600" t="str">
        <f>"Z751A3DD07"</f>
        <v>Z751A3DD07</v>
      </c>
      <c r="D600" t="str">
        <f>"04/11/2021"</f>
        <v>04/11/2021</v>
      </c>
      <c r="E600" t="str">
        <f>""</f>
        <v/>
      </c>
      <c r="F600" t="str">
        <f>""</f>
        <v/>
      </c>
      <c r="G600" t="str">
        <f>"780.00"</f>
        <v>780.00</v>
      </c>
      <c r="H600" t="str">
        <f>"Consorzio di bonifica Bacchiglione"</f>
        <v>Consorzio di bonifica Bacchiglione</v>
      </c>
      <c r="I600" t="str">
        <f>"92223390284"</f>
        <v>92223390284</v>
      </c>
      <c r="J600" t="str">
        <f>"23-AFFIDAMENTO DIRETTO"</f>
        <v>23-AFFIDAMENTO DIRETTO</v>
      </c>
      <c r="K600" t="str">
        <f>"10/06/2021"</f>
        <v>10/06/2021</v>
      </c>
      <c r="L600" t="str">
        <f>"01/08/2021"</f>
        <v>01/08/2021</v>
      </c>
      <c r="M600" t="str">
        <f>""</f>
        <v/>
      </c>
      <c r="N600" t="str">
        <f>"Nolo Piovese s.r.l. Via Padana 34 35020 S. Angelo di Piove PD"</f>
        <v>Nolo Piovese s.r.l. Via Padana 34 35020 S. Angelo di Piove PD</v>
      </c>
      <c r="O600" t="str">
        <f>"Nolo Piovese s.r.l. Via Padana 34 35020 S. Angelo di Piove PD"</f>
        <v>Nolo Piovese s.r.l. Via Padana 34 35020 S. Angelo di Piove PD</v>
      </c>
      <c r="P600" t="str">
        <f>"Z751A3DD07: [780.00€ ]"</f>
        <v>Z751A3DD07: [780.00€ ]</v>
      </c>
      <c r="Q600" t="str">
        <f>""</f>
        <v/>
      </c>
      <c r="R600" t="str">
        <f>""</f>
        <v/>
      </c>
      <c r="S600" t="str">
        <f>""</f>
        <v/>
      </c>
      <c r="T600" t="str">
        <f>"https://portaletrasparenza.consorziobacchiglione.it/dettagli/attodigara/518/noleggio-piattaforma-martello-pneumatico-motosega-a-scoppio-con-disco-widia.html"</f>
        <v>https://portaletrasparenza.consorziobacchiglione.it/dettagli/attodigara/518/noleggio-piattaforma-martello-pneumatico-motosega-a-scoppio-con-disco-widia.html</v>
      </c>
      <c r="U600" t="str">
        <f>""</f>
        <v/>
      </c>
      <c r="V6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01" spans="1:22" x14ac:dyDescent="0.3">
      <c r="A601" t="str">
        <f>"Affidamento"</f>
        <v>Affidamento</v>
      </c>
      <c r="B601" t="str">
        <f>"Affidamento servizio di formazione del personale dipendente in materia di appalti pubblici."</f>
        <v>Affidamento servizio di formazione del personale dipendente in materia di appalti pubblici.</v>
      </c>
      <c r="C601" t="str">
        <f>"Z4A1A4017B"</f>
        <v>Z4A1A4017B</v>
      </c>
      <c r="D601" t="str">
        <f>"04/11/2021"</f>
        <v>04/11/2021</v>
      </c>
      <c r="E601" t="str">
        <f>""</f>
        <v/>
      </c>
      <c r="F601" t="str">
        <f>""</f>
        <v/>
      </c>
      <c r="G601" t="str">
        <f>"500.00"</f>
        <v>500.00</v>
      </c>
      <c r="H601" t="str">
        <f>"Consorzio di bonifica Bacchiglione"</f>
        <v>Consorzio di bonifica Bacchiglione</v>
      </c>
      <c r="I601" t="str">
        <f>"92223390284"</f>
        <v>92223390284</v>
      </c>
      <c r="J601" t="str">
        <f>"23-AFFIDAMENTO DIRETTO"</f>
        <v>23-AFFIDAMENTO DIRETTO</v>
      </c>
      <c r="K601" t="str">
        <f>"10/06/2021"</f>
        <v>10/06/2021</v>
      </c>
      <c r="L601" t="str">
        <f>"01/07/2021"</f>
        <v>01/07/2021</v>
      </c>
      <c r="M601" t="str">
        <f>""</f>
        <v/>
      </c>
      <c r="N601" t="str">
        <f>"ASSOCIAZIONE TRIVENETA DIRIGENTI DELLA BONIFICA"</f>
        <v>ASSOCIAZIONE TRIVENETA DIRIGENTI DELLA BONIFICA</v>
      </c>
      <c r="O601" t="str">
        <f>"ASSOCIAZIONE TRIVENETA DIRIGENTI DELLA BONIFICA"</f>
        <v>ASSOCIAZIONE TRIVENETA DIRIGENTI DELLA BONIFICA</v>
      </c>
      <c r="P601" t="str">
        <f>"Z4A1A4017B: [0.00€ ]"</f>
        <v>Z4A1A4017B: [0.00€ ]</v>
      </c>
      <c r="Q601" t="str">
        <f>""</f>
        <v/>
      </c>
      <c r="R601" t="str">
        <f>""</f>
        <v/>
      </c>
      <c r="S601" t="str">
        <f>""</f>
        <v/>
      </c>
      <c r="T601" t="str">
        <f>"https://portaletrasparenza.consorziobacchiglione.it/dettagli/attodigara/516/affidamento-servizio-di-formazione-del-personale-dipendente-in-materia-di-appalti-pubblici.html"</f>
        <v>https://portaletrasparenza.consorziobacchiglione.it/dettagli/attodigara/516/affidamento-servizio-di-formazione-del-personale-dipendente-in-materia-di-appalti-pubblici.html</v>
      </c>
      <c r="U601" t="str">
        <f>""</f>
        <v/>
      </c>
      <c r="V601">
        <f>(SUBSTITUTE(Tabella1[[#This Row],[Importo di aggiudicazione]],".",","))-(SUBSTITUTE(  SUBSTITUTE(          SUBSTITUTE(Tabella1[[#This Row],[Dettaglio somme liquidate]],Tabella1[[#This Row],[CIG]]&amp;": [",""),"€ ]",""),".",","))</f>
        <v>500</v>
      </c>
    </row>
    <row r="602" spans="1:22" x14ac:dyDescent="0.3">
      <c r="A602" t="str">
        <f>"Affidamento"</f>
        <v>Affidamento</v>
      </c>
      <c r="B602" t="str">
        <f>"INTEGRAZIONE DETERMINA 373/2020, A SEGUITO RIEMISSIONE PREVENTIVO PER NUOVA FORNITURA DI ENERGIA ELETTRICA A PARATOIA SOSTEGNO PICCOLO, POD IT001E191015738."</f>
        <v>INTEGRAZIONE DETERMINA 373/2020, A SEGUITO RIEMISSIONE PREVENTIVO PER NUOVA FORNITURA DI ENERGIA ELETTRICA A PARATOIA SOSTEGNO PICCOLO, POD IT001E191015738.</v>
      </c>
      <c r="C602" t="str">
        <f>"Z842D20F13"</f>
        <v>Z842D20F13</v>
      </c>
      <c r="D602" t="str">
        <f>"08/07/2021"</f>
        <v>08/07/2021</v>
      </c>
      <c r="E602" t="str">
        <f>""</f>
        <v/>
      </c>
      <c r="F602" t="str">
        <f>""</f>
        <v/>
      </c>
      <c r="G602" t="str">
        <f>"6.83"</f>
        <v>6.83</v>
      </c>
      <c r="H602" t="str">
        <f>"CONSORZIO DI BONIFICA BACCHIGLIONE"</f>
        <v>CONSORZIO DI BONIFICA BACCHIGLIONE</v>
      </c>
      <c r="I602" t="str">
        <f>"92223390284"</f>
        <v>92223390284</v>
      </c>
      <c r="J602" t="str">
        <f>"23-AFFIDAMENTO DIRETTO"</f>
        <v>23-AFFIDAMENTO DIRETTO</v>
      </c>
      <c r="K602" t="str">
        <f>"10/06/2021"</f>
        <v>10/06/2021</v>
      </c>
      <c r="L602" t="str">
        <f>"17/08/2021"</f>
        <v>17/08/2021</v>
      </c>
      <c r="M602" t="str">
        <f>""</f>
        <v/>
      </c>
      <c r="N602" t="str">
        <f>"NOVA AEG S.P.A. | NOVA AEG S.p.A. Via Nelson Mandela, 4 - 13100 Vercelli (VC)"</f>
        <v>NOVA AEG S.P.A. | NOVA AEG S.p.A. Via Nelson Mandela, 4 - 13100 Vercelli (VC)</v>
      </c>
      <c r="O602" t="str">
        <f>"NOVA AEG S.P.A."</f>
        <v>NOVA AEG S.P.A.</v>
      </c>
      <c r="P602" t="s">
        <v>199</v>
      </c>
      <c r="Q602" t="str">
        <f>""</f>
        <v/>
      </c>
      <c r="R602" t="str">
        <f>""</f>
        <v/>
      </c>
      <c r="S602" t="str">
        <f>""</f>
        <v/>
      </c>
      <c r="T602" t="str">
        <f>"https://portaletrasparenza.consorziobacchiglione.it/dettagli/attodigara/3534/integrazione-determina-373-2020-a-seguito-riemissione-preventivo-per-nuova-fornitura-di-energia-elettrica-a-paratoia-sostegno-piccolo-pod-it001e191015738.html"</f>
        <v>https://portaletrasparenza.consorziobacchiglione.it/dettagli/attodigara/3534/integrazione-determina-373-2020-a-seguito-riemissione-preventivo-per-nuova-fornitura-di-energia-elettrica-a-paratoia-sostegno-piccolo-pod-it001e191015738.html</v>
      </c>
      <c r="U602" t="str">
        <f>"https://portaletrasparenza.consorziobacchiglione.it/download/attodigara/3534/62a20a3352643.PDF"</f>
        <v>https://portaletrasparenza.consorziobacchiglione.it/download/attodigara/3534/62a20a3352643.PDF</v>
      </c>
      <c r="V6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03" spans="1:22" x14ac:dyDescent="0.3">
      <c r="A603" t="str">
        <f>"Affidamento"</f>
        <v>Affidamento</v>
      </c>
      <c r="B603" t="str">
        <f>"Fornitura ricambi per lame barra falciante presso Bacino Montà Portello e Pratiarcati"</f>
        <v>Fornitura ricambi per lame barra falciante presso Bacino Montà Portello e Pratiarcati</v>
      </c>
      <c r="C603" t="str">
        <f>"ZBF326D8E8"</f>
        <v>ZBF326D8E8</v>
      </c>
      <c r="D603" t="str">
        <f>"02/08/2021"</f>
        <v>02/08/2021</v>
      </c>
      <c r="E603" t="str">
        <f>""</f>
        <v/>
      </c>
      <c r="F603" t="str">
        <f>""</f>
        <v/>
      </c>
      <c r="G603" t="str">
        <f>"1868.40"</f>
        <v>1868.40</v>
      </c>
      <c r="H603" t="str">
        <f>"Consorzio di bonifica Bacchiglione"</f>
        <v>Consorzio di bonifica Bacchiglione</v>
      </c>
      <c r="I603" t="str">
        <f>"92223390284"</f>
        <v>92223390284</v>
      </c>
      <c r="J603" t="str">
        <f>"23-AFFIDAMENTO DIRETTO"</f>
        <v>23-AFFIDAMENTO DIRETTO</v>
      </c>
      <c r="K603" t="str">
        <f>"10/07/2021"</f>
        <v>10/07/2021</v>
      </c>
      <c r="L603" t="str">
        <f>"03/08/2021"</f>
        <v>03/08/2021</v>
      </c>
      <c r="M603" t="str">
        <f>""</f>
        <v/>
      </c>
      <c r="N603" t="str">
        <f>"Eredi di Stivanello Sergio S.a.s. Via Padova 156 35025 Cartura PD"</f>
        <v>Eredi di Stivanello Sergio S.a.s. Via Padova 156 35025 Cartura PD</v>
      </c>
      <c r="O603" t="str">
        <f>"Eredi di Stivanello Sergio S.a.s. Via Padova 156 35025 Cartura PD"</f>
        <v>Eredi di Stivanello Sergio S.a.s. Via Padova 156 35025 Cartura PD</v>
      </c>
      <c r="P603" t="str">
        <f>"ZBF326D8E8: [1868.40€ ]"</f>
        <v>ZBF326D8E8: [1868.40€ ]</v>
      </c>
      <c r="Q603" t="str">
        <f>""</f>
        <v/>
      </c>
      <c r="R603" t="str">
        <f>""</f>
        <v/>
      </c>
      <c r="S603" t="str">
        <f>""</f>
        <v/>
      </c>
      <c r="T603" t="str">
        <f>"https://portaletrasparenza.consorziobacchiglione.it/dettagli/attodigara/7008/fornitura-ricambi-per-lame-barra-falciante-presso-bacino-monta-portello-e-pratiarcati.html"</f>
        <v>https://portaletrasparenza.consorziobacchiglione.it/dettagli/attodigara/7008/fornitura-ricambi-per-lame-barra-falciante-presso-bacino-monta-portello-e-pratiarcati.html</v>
      </c>
      <c r="U603" t="str">
        <f>"https://portaletrasparenza.consorziobacchiglione.it/download/attodigara/7008/63ac45b1504fa.PDF"</f>
        <v>https://portaletrasparenza.consorziobacchiglione.it/download/attodigara/7008/63ac45b1504fa.PDF</v>
      </c>
      <c r="V6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04" spans="1:22" x14ac:dyDescent="0.3">
      <c r="A604" t="str">
        <f>"Affidamento"</f>
        <v>Affidamento</v>
      </c>
      <c r="B604" t="str">
        <f>"Manutenzione e riparazione cingolato 904 più motopompa Varisco J300"</f>
        <v>Manutenzione e riparazione cingolato 904 più motopompa Varisco J300</v>
      </c>
      <c r="C604" t="str">
        <f>"ZD2326D920"</f>
        <v>ZD2326D920</v>
      </c>
      <c r="D604" t="str">
        <f>"19/07/2021"</f>
        <v>19/07/2021</v>
      </c>
      <c r="E604" t="str">
        <f>""</f>
        <v/>
      </c>
      <c r="F604" t="str">
        <f>""</f>
        <v/>
      </c>
      <c r="G604" t="str">
        <f>"544.74"</f>
        <v>544.74</v>
      </c>
      <c r="H604" t="str">
        <f>"Consorzio di bonifica Bacchiglione"</f>
        <v>Consorzio di bonifica Bacchiglione</v>
      </c>
      <c r="I604" t="str">
        <f>"92223390284"</f>
        <v>92223390284</v>
      </c>
      <c r="J604" t="str">
        <f>"23-AFFIDAMENTO DIRETTO"</f>
        <v>23-AFFIDAMENTO DIRETTO</v>
      </c>
      <c r="K604" t="str">
        <f>"10/07/2021"</f>
        <v>10/07/2021</v>
      </c>
      <c r="L604" t="str">
        <f>"28/07/2021"</f>
        <v>28/07/2021</v>
      </c>
      <c r="M604" t="str">
        <f>""</f>
        <v/>
      </c>
      <c r="N604" t="str">
        <f>"Officina Biesse S.n.c. Via Matteotti 24 35020 Arzergrande PD"</f>
        <v>Officina Biesse S.n.c. Via Matteotti 24 35020 Arzergrande PD</v>
      </c>
      <c r="O604" t="str">
        <f>"Officina Biesse S.n.c. Via Matteotti 24 35020 Arzergrande PD"</f>
        <v>Officina Biesse S.n.c. Via Matteotti 24 35020 Arzergrande PD</v>
      </c>
      <c r="P604" t="str">
        <f>"ZD2326D920: [544.74€ ]"</f>
        <v>ZD2326D920: [544.74€ ]</v>
      </c>
      <c r="Q604" t="str">
        <f>""</f>
        <v/>
      </c>
      <c r="R604" t="str">
        <f>""</f>
        <v/>
      </c>
      <c r="S604" t="str">
        <f>""</f>
        <v/>
      </c>
      <c r="T604" t="str">
        <f>"https://portaletrasparenza.consorziobacchiglione.it/dettagli/attodigara/7010/manutenzione-e-riparazione-cingolato-904-piu-motopompa-varisco-j300.html"</f>
        <v>https://portaletrasparenza.consorziobacchiglione.it/dettagli/attodigara/7010/manutenzione-e-riparazione-cingolato-904-piu-motopompa-varisco-j300.html</v>
      </c>
      <c r="U604" t="str">
        <f>"https://portaletrasparenza.consorziobacchiglione.it/download/attodigara/7010/63ac45a5d4dc2.PDF"</f>
        <v>https://portaletrasparenza.consorziobacchiglione.it/download/attodigara/7010/63ac45a5d4dc2.PDF</v>
      </c>
      <c r="V6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05" spans="1:22" x14ac:dyDescent="0.3">
      <c r="A605" t="str">
        <f>"Affidamento"</f>
        <v>Affidamento</v>
      </c>
      <c r="B605" t="str">
        <f>"Trasporto e smaltimento del materiale derivante dalla pulizia di un tratto del fosso Capitello"</f>
        <v>Trasporto e smaltimento del materiale derivante dalla pulizia di un tratto del fosso Capitello</v>
      </c>
      <c r="C605" t="str">
        <f>"ZEB326D900"</f>
        <v>ZEB326D900</v>
      </c>
      <c r="D605" t="str">
        <f>"19/07/2021"</f>
        <v>19/07/2021</v>
      </c>
      <c r="E605" t="str">
        <f>""</f>
        <v/>
      </c>
      <c r="F605" t="str">
        <f>""</f>
        <v/>
      </c>
      <c r="G605" t="str">
        <f>"4990.00"</f>
        <v>4990.00</v>
      </c>
      <c r="H605" t="str">
        <f>"Consorzio di bonifica Bacchiglione"</f>
        <v>Consorzio di bonifica Bacchiglione</v>
      </c>
      <c r="I605" t="str">
        <f>"92223390284"</f>
        <v>92223390284</v>
      </c>
      <c r="J605" t="str">
        <f>"23-AFFIDAMENTO DIRETTO"</f>
        <v>23-AFFIDAMENTO DIRETTO</v>
      </c>
      <c r="K605" t="str">
        <f>"10/07/2021"</f>
        <v>10/07/2021</v>
      </c>
      <c r="L605" t="str">
        <f>"10/08/2021"</f>
        <v>10/08/2021</v>
      </c>
      <c r="M605" t="str">
        <f>""</f>
        <v/>
      </c>
      <c r="N605" t="str">
        <f>"F.lli Gardin S.R.L. Via Caovilla 16 Saonara PD"</f>
        <v>F.lli Gardin S.R.L. Via Caovilla 16 Saonara PD</v>
      </c>
      <c r="O605" t="str">
        <f>"F.lli Gardin S.R.L. Via Caovilla 16 Saonara PD"</f>
        <v>F.lli Gardin S.R.L. Via Caovilla 16 Saonara PD</v>
      </c>
      <c r="P605" t="str">
        <f>"ZEB326D900: [3346.12€ ]"</f>
        <v>ZEB326D900: [3346.12€ ]</v>
      </c>
      <c r="Q605" t="str">
        <f>""</f>
        <v/>
      </c>
      <c r="R605" t="str">
        <f>""</f>
        <v/>
      </c>
      <c r="S605" t="str">
        <f>""</f>
        <v/>
      </c>
      <c r="T605" t="str">
        <f>"https://portaletrasparenza.consorziobacchiglione.it/dettagli/attodigara/7009/trasporto-e-smaltimento-del-materiale-derivante-dalla-pulizia-di-un-tratto-del-fosso-capitello.html"</f>
        <v>https://portaletrasparenza.consorziobacchiglione.it/dettagli/attodigara/7009/trasporto-e-smaltimento-del-materiale-derivante-dalla-pulizia-di-un-tratto-del-fosso-capitello.html</v>
      </c>
      <c r="U605" t="str">
        <f>"https://portaletrasparenza.consorziobacchiglione.it/download/attodigara/7009/63ac45a8a0afe.PDF"</f>
        <v>https://portaletrasparenza.consorziobacchiglione.it/download/attodigara/7009/63ac45a8a0afe.PDF</v>
      </c>
      <c r="V605">
        <f>(SUBSTITUTE(Tabella1[[#This Row],[Importo di aggiudicazione]],".",","))-(SUBSTITUTE(  SUBSTITUTE(          SUBSTITUTE(Tabella1[[#This Row],[Dettaglio somme liquidate]],Tabella1[[#This Row],[CIG]]&amp;": [",""),"€ ]",""),".",","))</f>
        <v>1643.88</v>
      </c>
    </row>
    <row r="606" spans="1:22" x14ac:dyDescent="0.3">
      <c r="A606" t="str">
        <f>"Affidamento"</f>
        <v>Affidamento</v>
      </c>
      <c r="B606" t="str">
        <f>"Manutenzione e riparazione motobarca n 8."</f>
        <v>Manutenzione e riparazione motobarca n 8.</v>
      </c>
      <c r="C606" t="str">
        <f>"Z291AE9577"</f>
        <v>Z291AE9577</v>
      </c>
      <c r="D606" t="str">
        <f>"04/11/2021"</f>
        <v>04/11/2021</v>
      </c>
      <c r="E606" t="str">
        <f>""</f>
        <v/>
      </c>
      <c r="F606" t="str">
        <f>""</f>
        <v/>
      </c>
      <c r="G606" t="str">
        <f>"2390.00"</f>
        <v>2390.00</v>
      </c>
      <c r="H606" t="str">
        <f>"Consorzio di bonifica Bacchiglione"</f>
        <v>Consorzio di bonifica Bacchiglione</v>
      </c>
      <c r="I606" t="str">
        <f>"92223390284"</f>
        <v>92223390284</v>
      </c>
      <c r="J606" t="str">
        <f>"23-AFFIDAMENTO DIRETTO"</f>
        <v>23-AFFIDAMENTO DIRETTO</v>
      </c>
      <c r="K606" t="str">
        <f>"10/08/2021"</f>
        <v>10/08/2021</v>
      </c>
      <c r="L606" t="str">
        <f>"27/10/2021"</f>
        <v>27/10/2021</v>
      </c>
      <c r="M606" t="str">
        <f>""</f>
        <v/>
      </c>
      <c r="N606" t="str">
        <f>"ZEMI s.a.s. di Zanotto Enzo di Ruzzante Dorina Via E. Mattei 7 35020 Due Carrare PD"</f>
        <v>ZEMI s.a.s. di Zanotto Enzo di Ruzzante Dorina Via E. Mattei 7 35020 Due Carrare PD</v>
      </c>
      <c r="O606" t="str">
        <f>"ZEMI s.a.s. di Zanotto Enzo di Ruzzante Dorina Via E. Mattei 7 35020 Due Carrare PD"</f>
        <v>ZEMI s.a.s. di Zanotto Enzo di Ruzzante Dorina Via E. Mattei 7 35020 Due Carrare PD</v>
      </c>
      <c r="P606" t="str">
        <f>"Z291AE9577: [2390.00€ ]"</f>
        <v>Z291AE9577: [2390.00€ ]</v>
      </c>
      <c r="Q606" t="str">
        <f>""</f>
        <v/>
      </c>
      <c r="R606" t="str">
        <f>""</f>
        <v/>
      </c>
      <c r="S606" t="str">
        <f>""</f>
        <v/>
      </c>
      <c r="T606" t="str">
        <f>"https://portaletrasparenza.consorziobacchiglione.it/dettagli/attodigara/667/manutenzione-e-riparazione-motobarca-n-8.html"</f>
        <v>https://portaletrasparenza.consorziobacchiglione.it/dettagli/attodigara/667/manutenzione-e-riparazione-motobarca-n-8.html</v>
      </c>
      <c r="U606" t="str">
        <f>""</f>
        <v/>
      </c>
      <c r="V6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07" spans="1:22" x14ac:dyDescent="0.3">
      <c r="A607" t="str">
        <f>"Affidamento"</f>
        <v>Affidamento</v>
      </c>
      <c r="B607" t="str">
        <f>"Corso per il rinnovo CQC del dipendente Consorziale Armano Manuel"</f>
        <v>Corso per il rinnovo CQC del dipendente Consorziale Armano Manuel</v>
      </c>
      <c r="C607" t="str">
        <f>"ZD21AE94EF"</f>
        <v>ZD21AE94EF</v>
      </c>
      <c r="D607" t="str">
        <f>"04/11/2021"</f>
        <v>04/11/2021</v>
      </c>
      <c r="E607" t="str">
        <f>""</f>
        <v/>
      </c>
      <c r="F607" t="str">
        <f>""</f>
        <v/>
      </c>
      <c r="G607" t="str">
        <f>"250.00"</f>
        <v>250.00</v>
      </c>
      <c r="H607" t="str">
        <f>"Consorzio di bonifica Bacchiglione"</f>
        <v>Consorzio di bonifica Bacchiglione</v>
      </c>
      <c r="I607" t="str">
        <f>"92223390284"</f>
        <v>92223390284</v>
      </c>
      <c r="J607" t="str">
        <f>"23-AFFIDAMENTO DIRETTO"</f>
        <v>23-AFFIDAMENTO DIRETTO</v>
      </c>
      <c r="K607" t="str">
        <f>"10/08/2021"</f>
        <v>10/08/2021</v>
      </c>
      <c r="L607" t="str">
        <f>"20/10/2021"</f>
        <v>20/10/2021</v>
      </c>
      <c r="M607" t="str">
        <f>""</f>
        <v/>
      </c>
      <c r="N607" t="str">
        <f>"Consorzio Autoscuole Padovane Galleria Spagna 35 35127 int. 2 Zona Ind.Padova"</f>
        <v>Consorzio Autoscuole Padovane Galleria Spagna 35 35127 int. 2 Zona Ind.Padova</v>
      </c>
      <c r="O607" t="str">
        <f>"Consorzio Autoscuole Padovane Galleria Spagna 35 35127 int. 2 Zona Ind.Padova"</f>
        <v>Consorzio Autoscuole Padovane Galleria Spagna 35 35127 int. 2 Zona Ind.Padova</v>
      </c>
      <c r="P607" t="str">
        <f>"ZD21AE94EF: [250.00€ ]"</f>
        <v>ZD21AE94EF: [250.00€ ]</v>
      </c>
      <c r="Q607" t="str">
        <f>""</f>
        <v/>
      </c>
      <c r="R607" t="str">
        <f>""</f>
        <v/>
      </c>
      <c r="S607" t="str">
        <f>""</f>
        <v/>
      </c>
      <c r="T607" t="str">
        <f>"https://portaletrasparenza.consorziobacchiglione.it/dettagli/attodigara/666/corso-per-il-rinnovo-cqc-del-dipendente-consorziale-armano-manuel.html"</f>
        <v>https://portaletrasparenza.consorziobacchiglione.it/dettagli/attodigara/666/corso-per-il-rinnovo-cqc-del-dipendente-consorziale-armano-manuel.html</v>
      </c>
      <c r="U607" t="str">
        <f>""</f>
        <v/>
      </c>
      <c r="V60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08" spans="1:22" x14ac:dyDescent="0.3">
      <c r="A608" t="str">
        <f>"Affidamento"</f>
        <v>Affidamento</v>
      </c>
      <c r="B608" t="str">
        <f>"Sostituzione elettrovalvola Impianto riscaldamento presso sala Consiglio"</f>
        <v>Sostituzione elettrovalvola Impianto riscaldamento presso sala Consiglio</v>
      </c>
      <c r="C608" t="str">
        <f>"Z3432BE8E1"</f>
        <v>Z3432BE8E1</v>
      </c>
      <c r="D608" t="str">
        <f>"11/08/2021"</f>
        <v>11/08/2021</v>
      </c>
      <c r="E608" t="str">
        <f>""</f>
        <v/>
      </c>
      <c r="F608" t="str">
        <f>""</f>
        <v/>
      </c>
      <c r="G608" t="str">
        <f>"510.00"</f>
        <v>510.00</v>
      </c>
      <c r="H608" t="str">
        <f>"Consorzio di bonifica Bacchiglione"</f>
        <v>Consorzio di bonifica Bacchiglione</v>
      </c>
      <c r="I608" t="str">
        <f>"92223390284"</f>
        <v>92223390284</v>
      </c>
      <c r="J608" t="str">
        <f>"23-AFFIDAMENTO DIRETTO"</f>
        <v>23-AFFIDAMENTO DIRETTO</v>
      </c>
      <c r="K608" t="str">
        <f>"10/08/2021"</f>
        <v>10/08/2021</v>
      </c>
      <c r="L608" t="str">
        <f>"02/11/2021"</f>
        <v>02/11/2021</v>
      </c>
      <c r="M608" t="str">
        <f>""</f>
        <v/>
      </c>
      <c r="N608" t="str">
        <f>"Giraldo Impianti SNC di Giraldo Danilo e Silvio Via Flli Cervi 1-II 30010 Campolongo Maggiore VE"</f>
        <v>Giraldo Impianti SNC di Giraldo Danilo e Silvio Via Flli Cervi 1-II 30010 Campolongo Maggiore VE</v>
      </c>
      <c r="O608" t="str">
        <f>"Giraldo Impianti SNC di Giraldo Danilo e Silvio Via Flli Cervi 1-II 30010 Campolongo Maggiore VE"</f>
        <v>Giraldo Impianti SNC di Giraldo Danilo e Silvio Via Flli Cervi 1-II 30010 Campolongo Maggiore VE</v>
      </c>
      <c r="P608" t="s">
        <v>265</v>
      </c>
      <c r="Q608" t="str">
        <f>""</f>
        <v/>
      </c>
      <c r="R608" t="str">
        <f>""</f>
        <v/>
      </c>
      <c r="S608" t="str">
        <f>""</f>
        <v/>
      </c>
      <c r="T608" t="str">
        <f>"https://portaletrasparenza.consorziobacchiglione.it/dettagli/attodigara/7067/sostituzione-elettrovalvola-impianto-riscaldamento-presso-sala-consiglio.html"</f>
        <v>https://portaletrasparenza.consorziobacchiglione.it/dettagli/attodigara/7067/sostituzione-elettrovalvola-impianto-riscaldamento-presso-sala-consiglio.html</v>
      </c>
      <c r="U608" t="str">
        <f>"https://portaletrasparenza.consorziobacchiglione.it/download/attodigara/7067/63ac45b5501b9.PDF"</f>
        <v>https://portaletrasparenza.consorziobacchiglione.it/download/attodigara/7067/63ac45b5501b9.PDF</v>
      </c>
      <c r="V6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09" spans="1:22" x14ac:dyDescent="0.3">
      <c r="A609" t="str">
        <f>"Affidamento"</f>
        <v>Affidamento</v>
      </c>
      <c r="B609" t="str">
        <f>"Servizio di carico, trasporto e conferimento ad impianto autorizzato del materiale di risulta derivante dal cantiere per l'automazione del sostegno Governo - Ricicleria, in comune di Limena."</f>
        <v>Servizio di carico, trasporto e conferimento ad impianto autorizzato del materiale di risulta derivante dal cantiere per l'automazione del sostegno Governo - Ricicleria, in comune di Limena.</v>
      </c>
      <c r="C609" t="str">
        <f>"Z8732FE26D"</f>
        <v>Z8732FE26D</v>
      </c>
      <c r="D609" t="str">
        <f>"13/09/2021"</f>
        <v>13/09/2021</v>
      </c>
      <c r="E609" t="str">
        <f>""</f>
        <v/>
      </c>
      <c r="F609" t="str">
        <f>""</f>
        <v/>
      </c>
      <c r="G609" t="str">
        <f>"3444.00"</f>
        <v>3444.00</v>
      </c>
      <c r="H609" t="str">
        <f>"Consorzio di bonifica Bacchiglione"</f>
        <v>Consorzio di bonifica Bacchiglione</v>
      </c>
      <c r="I609" t="str">
        <f>"92223390284"</f>
        <v>92223390284</v>
      </c>
      <c r="J609" t="str">
        <f>"23-AFFIDAMENTO DIRETTO"</f>
        <v>23-AFFIDAMENTO DIRETTO</v>
      </c>
      <c r="K609" t="str">
        <f>"10/09/2021"</f>
        <v>10/09/2021</v>
      </c>
      <c r="L609" t="str">
        <f>"10/10/2021"</f>
        <v>10/10/2021</v>
      </c>
      <c r="M609" t="str">
        <f>""</f>
        <v/>
      </c>
      <c r="N609" t="str">
        <f>"F.lli Gardin S.R.L. Via Caovilla 16 Saonara PD"</f>
        <v>F.lli Gardin S.R.L. Via Caovilla 16 Saonara PD</v>
      </c>
      <c r="O609" t="str">
        <f>"F.lli Gardin S.R.L. Via Caovilla 16 Saonara PD"</f>
        <v>F.lli Gardin S.R.L. Via Caovilla 16 Saonara PD</v>
      </c>
      <c r="P609" t="s">
        <v>230</v>
      </c>
      <c r="Q609" t="str">
        <f>""</f>
        <v/>
      </c>
      <c r="R609" t="str">
        <f>""</f>
        <v/>
      </c>
      <c r="S609" t="str">
        <f>""</f>
        <v/>
      </c>
      <c r="T609" t="s">
        <v>84</v>
      </c>
      <c r="U609" t="str">
        <f>"https://portaletrasparenza.consorziobacchiglione.it/download/attodigara/7123/63ac45c27cc05.PDF"</f>
        <v>https://portaletrasparenza.consorziobacchiglione.it/download/attodigara/7123/63ac45c27cc05.PDF</v>
      </c>
      <c r="V6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10" spans="1:22" x14ac:dyDescent="0.3">
      <c r="A610" t="str">
        <f>"Affidamento"</f>
        <v>Affidamento</v>
      </c>
      <c r="B610" t="str">
        <f>"Sostituzione fodere sedili e maniglia porta SX dei mezzi con targa: AJ205BM, FF936PM"</f>
        <v>Sostituzione fodere sedili e maniglia porta SX dei mezzi con targa: AJ205BM, FF936PM</v>
      </c>
      <c r="C610" t="str">
        <f>"Z333300D7A"</f>
        <v>Z333300D7A</v>
      </c>
      <c r="D610" t="str">
        <f>"13/09/2021"</f>
        <v>13/09/2021</v>
      </c>
      <c r="E610" t="str">
        <f>""</f>
        <v/>
      </c>
      <c r="F610" t="str">
        <f>""</f>
        <v/>
      </c>
      <c r="G610" t="str">
        <f>"402.90"</f>
        <v>402.90</v>
      </c>
      <c r="H610" t="str">
        <f>"Consorzio di bonifica Bacchiglione"</f>
        <v>Consorzio di bonifica Bacchiglione</v>
      </c>
      <c r="I610" t="str">
        <f>"92223390284"</f>
        <v>92223390284</v>
      </c>
      <c r="J610" t="str">
        <f>"23-AFFIDAMENTO DIRETTO"</f>
        <v>23-AFFIDAMENTO DIRETTO</v>
      </c>
      <c r="K610" t="str">
        <f>"10/09/2021"</f>
        <v>10/09/2021</v>
      </c>
      <c r="L610" t="str">
        <f>"06/12/2021"</f>
        <v>06/12/2021</v>
      </c>
      <c r="M610" t="str">
        <f>""</f>
        <v/>
      </c>
      <c r="N610" t="str">
        <f>"Carrozzeria Biasion S.N.C. Via Bassa 45 35020 Arzergrande PD"</f>
        <v>Carrozzeria Biasion S.N.C. Via Bassa 45 35020 Arzergrande PD</v>
      </c>
      <c r="O610" t="str">
        <f>"Carrozzeria Biasion S.N.C. Via Bassa 45 35020 Arzergrande PD"</f>
        <v>Carrozzeria Biasion S.N.C. Via Bassa 45 35020 Arzergrande PD</v>
      </c>
      <c r="P610" t="s">
        <v>277</v>
      </c>
      <c r="Q610" t="str">
        <f>""</f>
        <v/>
      </c>
      <c r="R610" t="str">
        <f>""</f>
        <v/>
      </c>
      <c r="S610" t="str">
        <f>""</f>
        <v/>
      </c>
      <c r="T610" t="str">
        <f>"https://portaletrasparenza.consorziobacchiglione.it/dettagli/attodigara/7126/sostituzione-fodere-sedili-e-maniglia-porta-sx-dei-mezzi-con-targa-aj205bm-ff936pm.html"</f>
        <v>https://portaletrasparenza.consorziobacchiglione.it/dettagli/attodigara/7126/sostituzione-fodere-sedili-e-maniglia-porta-sx-dei-mezzi-con-targa-aj205bm-ff936pm.html</v>
      </c>
      <c r="U610" t="str">
        <f>"https://portaletrasparenza.consorziobacchiglione.it/download/attodigara/7126/63ac45c2ef441.PDF"</f>
        <v>https://portaletrasparenza.consorziobacchiglione.it/download/attodigara/7126/63ac45c2ef441.PDF</v>
      </c>
      <c r="V6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11" spans="1:22" x14ac:dyDescent="0.3">
      <c r="A611" t="str">
        <f>"Affidamento"</f>
        <v>Affidamento</v>
      </c>
      <c r="B611" t="str">
        <f>"Lavori di Revamping quadri elettrici presso Nodo Idraulico di Tassia"</f>
        <v>Lavori di Revamping quadri elettrici presso Nodo Idraulico di Tassia</v>
      </c>
      <c r="C611" t="str">
        <f>"Z0B3300B85"</f>
        <v>Z0B3300B85</v>
      </c>
      <c r="D611" t="str">
        <f>"13/09/2021"</f>
        <v>13/09/2021</v>
      </c>
      <c r="E611" t="str">
        <f>""</f>
        <v/>
      </c>
      <c r="F611" t="str">
        <f>""</f>
        <v/>
      </c>
      <c r="G611" t="str">
        <f>"18700.00"</f>
        <v>18700.00</v>
      </c>
      <c r="H611" t="str">
        <f>"Consorzio di bonifica Bacchiglione"</f>
        <v>Consorzio di bonifica Bacchiglione</v>
      </c>
      <c r="I611" t="str">
        <f>"92223390284"</f>
        <v>92223390284</v>
      </c>
      <c r="J611" t="str">
        <f>"23-AFFIDAMENTO DIRETTO"</f>
        <v>23-AFFIDAMENTO DIRETTO</v>
      </c>
      <c r="K611" t="str">
        <f>"10/09/2021"</f>
        <v>10/09/2021</v>
      </c>
      <c r="L611" t="str">
        <f>"31/12/2022"</f>
        <v>31/12/2022</v>
      </c>
      <c r="M611" t="str">
        <f>""</f>
        <v/>
      </c>
      <c r="N611" t="str">
        <f>"Dimel s.a.s. di Donado Luca e C. Via Unità d'Italia 12 35020 Brugine PD"</f>
        <v>Dimel s.a.s. di Donado Luca e C. Via Unità d'Italia 12 35020 Brugine PD</v>
      </c>
      <c r="O611" t="str">
        <f>"Dimel s.a.s. di Donado Luca e C. Via Unità d'Italia 12 35020 Brugine PD"</f>
        <v>Dimel s.a.s. di Donado Luca e C. Via Unità d'Italia 12 35020 Brugine PD</v>
      </c>
      <c r="P611" t="str">
        <f>"Z0B3300B85: [18700.00€ ]"</f>
        <v>Z0B3300B85: [18700.00€ ]</v>
      </c>
      <c r="Q611" t="str">
        <f>""</f>
        <v/>
      </c>
      <c r="R611" t="str">
        <f>""</f>
        <v/>
      </c>
      <c r="S611" t="str">
        <f>""</f>
        <v/>
      </c>
      <c r="T611" t="str">
        <f>"https://portaletrasparenza.consorziobacchiglione.it/dettagli/attodigara/7125/lavori-di-revamping-quadri-elettrici-presso-nodo-idraulico-di-tassia.html"</f>
        <v>https://portaletrasparenza.consorziobacchiglione.it/dettagli/attodigara/7125/lavori-di-revamping-quadri-elettrici-presso-nodo-idraulico-di-tassia.html</v>
      </c>
      <c r="U611" t="str">
        <f>"https://portaletrasparenza.consorziobacchiglione.it/download/attodigara/7125/62a20a70ad00e.PDF"</f>
        <v>https://portaletrasparenza.consorziobacchiglione.it/download/attodigara/7125/62a20a70ad00e.PDF</v>
      </c>
      <c r="V61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12" spans="1:22" x14ac:dyDescent="0.3">
      <c r="A612" t="str">
        <f>"Affidamento"</f>
        <v>Affidamento</v>
      </c>
      <c r="B612" t="str">
        <f>"Riparazione e manutenzione mezzo targato: AKB015"</f>
        <v>Riparazione e manutenzione mezzo targato: AKB015</v>
      </c>
      <c r="C612" t="str">
        <f>"ZFA32FE402"</f>
        <v>ZFA32FE402</v>
      </c>
      <c r="D612" t="str">
        <f>"13/09/2021"</f>
        <v>13/09/2021</v>
      </c>
      <c r="E612" t="str">
        <f>""</f>
        <v/>
      </c>
      <c r="F612" t="str">
        <f>""</f>
        <v/>
      </c>
      <c r="G612" t="str">
        <f>"393.92"</f>
        <v>393.92</v>
      </c>
      <c r="H612" t="str">
        <f>"Consorzio di bonifica Bacchiglione"</f>
        <v>Consorzio di bonifica Bacchiglione</v>
      </c>
      <c r="I612" t="str">
        <f>"92223390284"</f>
        <v>92223390284</v>
      </c>
      <c r="J612" t="str">
        <f>"23-AFFIDAMENTO DIRETTO"</f>
        <v>23-AFFIDAMENTO DIRETTO</v>
      </c>
      <c r="K612" t="str">
        <f>"10/09/2021"</f>
        <v>10/09/2021</v>
      </c>
      <c r="L612" t="str">
        <f>"27/09/2021"</f>
        <v>27/09/2021</v>
      </c>
      <c r="M612" t="str">
        <f>""</f>
        <v/>
      </c>
      <c r="N612" t="str">
        <f>"Officina Biesse S.n.c. Via Matteotti 24 35020 Arzergrande PD"</f>
        <v>Officina Biesse S.n.c. Via Matteotti 24 35020 Arzergrande PD</v>
      </c>
      <c r="O612" t="str">
        <f>"Officina Biesse S.n.c. Via Matteotti 24 35020 Arzergrande PD"</f>
        <v>Officina Biesse S.n.c. Via Matteotti 24 35020 Arzergrande PD</v>
      </c>
      <c r="P612" t="str">
        <f>"ZFA32FE402: [393.92€ ]"</f>
        <v>ZFA32FE402: [393.92€ ]</v>
      </c>
      <c r="Q612" t="str">
        <f>""</f>
        <v/>
      </c>
      <c r="R612" t="str">
        <f>""</f>
        <v/>
      </c>
      <c r="S612" t="str">
        <f>""</f>
        <v/>
      </c>
      <c r="T612" t="str">
        <f>"https://portaletrasparenza.consorziobacchiglione.it/dettagli/attodigara/7124/riparazione-e-manutenzione-mezzo-targato-akb015.html"</f>
        <v>https://portaletrasparenza.consorziobacchiglione.it/dettagli/attodigara/7124/riparazione-e-manutenzione-mezzo-targato-akb015.html</v>
      </c>
      <c r="U612" t="str">
        <f>"https://portaletrasparenza.consorziobacchiglione.it/download/attodigara/7124/63ac45c2b5f64.PDF"</f>
        <v>https://portaletrasparenza.consorziobacchiglione.it/download/attodigara/7124/63ac45c2b5f64.PDF</v>
      </c>
      <c r="V6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13" spans="1:22" x14ac:dyDescent="0.3">
      <c r="A613" t="str">
        <f>"Affidamento"</f>
        <v>Affidamento</v>
      </c>
      <c r="B613" t="str">
        <f>"Lavori di ripristino pavimento in Terrazzo alla Veneziana presso Sede Consorziale"</f>
        <v>Lavori di ripristino pavimento in Terrazzo alla Veneziana presso Sede Consorziale</v>
      </c>
      <c r="C613" t="str">
        <f>"Z601B83194"</f>
        <v>Z601B83194</v>
      </c>
      <c r="D613" t="str">
        <f>"04/11/2021"</f>
        <v>04/11/2021</v>
      </c>
      <c r="E613" t="str">
        <f>""</f>
        <v/>
      </c>
      <c r="F613" t="str">
        <f>""</f>
        <v/>
      </c>
      <c r="G613" t="str">
        <f>"750.00"</f>
        <v>750.00</v>
      </c>
      <c r="H613" t="str">
        <f>"Consorzio di bonifica Bacchiglione"</f>
        <v>Consorzio di bonifica Bacchiglione</v>
      </c>
      <c r="I613" t="str">
        <f>"92223390284"</f>
        <v>92223390284</v>
      </c>
      <c r="J613" t="str">
        <f>"23-AFFIDAMENTO DIRETTO"</f>
        <v>23-AFFIDAMENTO DIRETTO</v>
      </c>
      <c r="K613" t="str">
        <f>"10/10/2021"</f>
        <v>10/10/2021</v>
      </c>
      <c r="L613" t="str">
        <f>"03/01/2021"</f>
        <v>03/01/2021</v>
      </c>
      <c r="M613" t="str">
        <f>""</f>
        <v/>
      </c>
      <c r="N613" t="str">
        <f>"Sanflorian di Fabrizio Pertile via Selva 5 35135 Padova"</f>
        <v>Sanflorian di Fabrizio Pertile via Selva 5 35135 Padova</v>
      </c>
      <c r="O613" t="str">
        <f>"Sanflorian di Fabrizio Pertile via Selva 5 35135 Padova"</f>
        <v>Sanflorian di Fabrizio Pertile via Selva 5 35135 Padova</v>
      </c>
      <c r="P613" t="str">
        <f>"Z601B83194: [750.00€ ]"</f>
        <v>Z601B83194: [750.00€ ]</v>
      </c>
      <c r="Q613" t="str">
        <f>""</f>
        <v/>
      </c>
      <c r="R613" t="str">
        <f>""</f>
        <v/>
      </c>
      <c r="S613" t="str">
        <f>""</f>
        <v/>
      </c>
      <c r="T613" t="str">
        <f>"https://portaletrasparenza.consorziobacchiglione.it/dettagli/attodigara/817/lavori-di-ripristino-pavimento-in-terrazzo-alla-veneziana-presso-sede-consorziale.html"</f>
        <v>https://portaletrasparenza.consorziobacchiglione.it/dettagli/attodigara/817/lavori-di-ripristino-pavimento-in-terrazzo-alla-veneziana-presso-sede-consorziale.html</v>
      </c>
      <c r="U613" t="str">
        <f>""</f>
        <v/>
      </c>
      <c r="V6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14" spans="1:22" x14ac:dyDescent="0.3">
      <c r="A614" t="str">
        <f>"Affidamento"</f>
        <v>Affidamento</v>
      </c>
      <c r="B614" t="str">
        <f>"Sostituzione coltelli rotore Hymach su mezzo con targa: AKD221."</f>
        <v>Sostituzione coltelli rotore Hymach su mezzo con targa: AKD221.</v>
      </c>
      <c r="C614" t="str">
        <f>"Z0A1B82EFD"</f>
        <v>Z0A1B82EFD</v>
      </c>
      <c r="D614" t="str">
        <f>"04/11/2021"</f>
        <v>04/11/2021</v>
      </c>
      <c r="E614" t="str">
        <f>""</f>
        <v/>
      </c>
      <c r="F614" t="str">
        <f>""</f>
        <v/>
      </c>
      <c r="G614" t="str">
        <f>"487.20"</f>
        <v>487.20</v>
      </c>
      <c r="H614" t="str">
        <f>"Consorzio di bonifica Bacchiglione"</f>
        <v>Consorzio di bonifica Bacchiglione</v>
      </c>
      <c r="I614" t="str">
        <f>"92223390284"</f>
        <v>92223390284</v>
      </c>
      <c r="J614" t="str">
        <f>"23-AFFIDAMENTO DIRETTO"</f>
        <v>23-AFFIDAMENTO DIRETTO</v>
      </c>
      <c r="K614" t="str">
        <f>"10/10/2021"</f>
        <v>10/10/2021</v>
      </c>
      <c r="L614" t="str">
        <f>"30/11/2021"</f>
        <v>30/11/2021</v>
      </c>
      <c r="M614" t="str">
        <f>""</f>
        <v/>
      </c>
      <c r="N614" t="str">
        <f>"Officina Biesse S.n.c. Via Matteotti 24 35020 Arzergrande PD"</f>
        <v>Officina Biesse S.n.c. Via Matteotti 24 35020 Arzergrande PD</v>
      </c>
      <c r="O614" t="str">
        <f>"Officina Biesse S.n.c. Via Matteotti 24 35020 Arzergrande PD"</f>
        <v>Officina Biesse S.n.c. Via Matteotti 24 35020 Arzergrande PD</v>
      </c>
      <c r="P614" t="str">
        <f>"Z0A1B82EFD: [487.20€ ]"</f>
        <v>Z0A1B82EFD: [487.20€ ]</v>
      </c>
      <c r="Q614" t="str">
        <f>""</f>
        <v/>
      </c>
      <c r="R614" t="str">
        <f>""</f>
        <v/>
      </c>
      <c r="S614" t="str">
        <f>""</f>
        <v/>
      </c>
      <c r="T614" t="str">
        <f>"https://portaletrasparenza.consorziobacchiglione.it/dettagli/attodigara/816/sostituzione-coltelli-rotore-hymach-su-mezzo-con-targa-akd221.html"</f>
        <v>https://portaletrasparenza.consorziobacchiglione.it/dettagli/attodigara/816/sostituzione-coltelli-rotore-hymach-su-mezzo-con-targa-akd221.html</v>
      </c>
      <c r="U614" t="str">
        <f>""</f>
        <v/>
      </c>
      <c r="V61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15" spans="1:22" x14ac:dyDescent="0.3">
      <c r="A615" t="str">
        <f>"Affidamento"</f>
        <v>Affidamento</v>
      </c>
      <c r="B615" t="str">
        <f>"Fornitura motore Elettrico Asincrono Trifase Siemens per Idrovora Marinelle."</f>
        <v>Fornitura motore Elettrico Asincrono Trifase Siemens per Idrovora Marinelle.</v>
      </c>
      <c r="C615" t="str">
        <f>"Z261B82BC0"</f>
        <v>Z261B82BC0</v>
      </c>
      <c r="D615" t="str">
        <f>"04/11/2021"</f>
        <v>04/11/2021</v>
      </c>
      <c r="E615" t="str">
        <f>""</f>
        <v/>
      </c>
      <c r="F615" t="str">
        <f>""</f>
        <v/>
      </c>
      <c r="G615" t="str">
        <f>"3137.00"</f>
        <v>3137.00</v>
      </c>
      <c r="H615" t="str">
        <f>"Consorzio di bonifica Bacchiglione"</f>
        <v>Consorzio di bonifica Bacchiglione</v>
      </c>
      <c r="I615" t="str">
        <f>"92223390284"</f>
        <v>92223390284</v>
      </c>
      <c r="J615" t="str">
        <f>"23-AFFIDAMENTO DIRETTO"</f>
        <v>23-AFFIDAMENTO DIRETTO</v>
      </c>
      <c r="K615" t="str">
        <f>"10/10/2021"</f>
        <v>10/10/2021</v>
      </c>
      <c r="L615" t="str">
        <f>"05/01/2021"</f>
        <v>05/01/2021</v>
      </c>
      <c r="M615" t="str">
        <f>""</f>
        <v/>
      </c>
      <c r="N615" t="str">
        <f>"Scarpa Sergio Elettromeccanica S.n.c. di Scarpa Paola E C. Via A. Vivaldi 7 35028 Piove di Sacco PD"</f>
        <v>Scarpa Sergio Elettromeccanica S.n.c. di Scarpa Paola E C. Via A. Vivaldi 7 35028 Piove di Sacco PD</v>
      </c>
      <c r="O615" t="str">
        <f>"Scarpa Sergio Elettromeccanica S.n.c. di Scarpa Paola E C. Via A. Vivaldi 7 35028 Piove di Sacco PD"</f>
        <v>Scarpa Sergio Elettromeccanica S.n.c. di Scarpa Paola E C. Via A. Vivaldi 7 35028 Piove di Sacco PD</v>
      </c>
      <c r="P615" t="str">
        <f>"Z261B82BC0: [3137.00€ ]"</f>
        <v>Z261B82BC0: [3137.00€ ]</v>
      </c>
      <c r="Q615" t="str">
        <f>""</f>
        <v/>
      </c>
      <c r="R615" t="str">
        <f>""</f>
        <v/>
      </c>
      <c r="S615" t="str">
        <f>""</f>
        <v/>
      </c>
      <c r="T615" t="str">
        <f>"https://portaletrasparenza.consorziobacchiglione.it/dettagli/attodigara/815/fornitura-motore-elettrico-asincrono-trifase-siemens-per-idrovora-marinelle.html"</f>
        <v>https://portaletrasparenza.consorziobacchiglione.it/dettagli/attodigara/815/fornitura-motore-elettrico-asincrono-trifase-siemens-per-idrovora-marinelle.html</v>
      </c>
      <c r="U615" t="str">
        <f>""</f>
        <v/>
      </c>
      <c r="V61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16" spans="1:22" x14ac:dyDescent="0.3">
      <c r="A616" t="str">
        <f>"Affidamento"</f>
        <v>Affidamento</v>
      </c>
      <c r="B616" t="str">
        <f>"Manutenzione e riparazione mezzo con targa: PDAH521, AGZ838."</f>
        <v>Manutenzione e riparazione mezzo con targa: PDAH521, AGZ838.</v>
      </c>
      <c r="C616" t="str">
        <f>"Z461B825AB"</f>
        <v>Z461B825AB</v>
      </c>
      <c r="D616" t="str">
        <f>"04/11/2021"</f>
        <v>04/11/2021</v>
      </c>
      <c r="E616" t="str">
        <f>""</f>
        <v/>
      </c>
      <c r="F616" t="str">
        <f>""</f>
        <v/>
      </c>
      <c r="G616" t="str">
        <f>"1489.49"</f>
        <v>1489.49</v>
      </c>
      <c r="H616" t="str">
        <f>"Consorzio di bonifica Bacchiglione"</f>
        <v>Consorzio di bonifica Bacchiglione</v>
      </c>
      <c r="I616" t="str">
        <f>"92223390284"</f>
        <v>92223390284</v>
      </c>
      <c r="J616" t="str">
        <f>"23-AFFIDAMENTO DIRETTO"</f>
        <v>23-AFFIDAMENTO DIRETTO</v>
      </c>
      <c r="K616" t="str">
        <f>"10/10/2021"</f>
        <v>10/10/2021</v>
      </c>
      <c r="L616" t="str">
        <f>"03/01/2021"</f>
        <v>03/01/2021</v>
      </c>
      <c r="M616" t="str">
        <f>""</f>
        <v/>
      </c>
      <c r="N616" t="str">
        <f>"Adriatica Commerciale Macchine s.r.l. Via dell'Artigianato 5 35020 Due Carrare PD"</f>
        <v>Adriatica Commerciale Macchine s.r.l. Via dell'Artigianato 5 35020 Due Carrare PD</v>
      </c>
      <c r="O616" t="str">
        <f>"Adriatica Commerciale Macchine s.r.l. Via dell'Artigianato 5 35020 Due Carrare PD"</f>
        <v>Adriatica Commerciale Macchine s.r.l. Via dell'Artigianato 5 35020 Due Carrare PD</v>
      </c>
      <c r="P616" t="str">
        <f>"Z461B825AB: [1489.49€ ]"</f>
        <v>Z461B825AB: [1489.49€ ]</v>
      </c>
      <c r="Q616" t="str">
        <f>""</f>
        <v/>
      </c>
      <c r="R616" t="str">
        <f>""</f>
        <v/>
      </c>
      <c r="S616" t="str">
        <f>""</f>
        <v/>
      </c>
      <c r="T616" t="str">
        <f>"https://portaletrasparenza.consorziobacchiglione.it/dettagli/attodigara/814/manutenzione-e-riparazione-mezzo-con-targa-pdah521-agz838.html"</f>
        <v>https://portaletrasparenza.consorziobacchiglione.it/dettagli/attodigara/814/manutenzione-e-riparazione-mezzo-con-targa-pdah521-agz838.html</v>
      </c>
      <c r="U616" t="str">
        <f>""</f>
        <v/>
      </c>
      <c r="V61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17" spans="1:22" x14ac:dyDescent="0.3">
      <c r="A617" t="str">
        <f>"Affidamento"</f>
        <v>Affidamento</v>
      </c>
      <c r="B617" t="str">
        <f>"Fornitura n 2 pneumatici per mezzo con targa: DS717AA."</f>
        <v>Fornitura n 2 pneumatici per mezzo con targa: DS717AA.</v>
      </c>
      <c r="C617" t="str">
        <f>"ZCE1B81B43"</f>
        <v>ZCE1B81B43</v>
      </c>
      <c r="D617" t="str">
        <f>"04/11/2021"</f>
        <v>04/11/2021</v>
      </c>
      <c r="E617" t="str">
        <f>""</f>
        <v/>
      </c>
      <c r="F617" t="str">
        <f>""</f>
        <v/>
      </c>
      <c r="G617" t="str">
        <f>"144.60"</f>
        <v>144.60</v>
      </c>
      <c r="H617" t="str">
        <f>"Consorzio di bonifica Bacchiglione"</f>
        <v>Consorzio di bonifica Bacchiglione</v>
      </c>
      <c r="I617" t="str">
        <f>"92223390284"</f>
        <v>92223390284</v>
      </c>
      <c r="J617" t="str">
        <f>"23-AFFIDAMENTO DIRETTO"</f>
        <v>23-AFFIDAMENTO DIRETTO</v>
      </c>
      <c r="K617" t="str">
        <f>"10/10/2021"</f>
        <v>10/10/2021</v>
      </c>
      <c r="L617" t="str">
        <f>"05/01/2021"</f>
        <v>05/01/2021</v>
      </c>
      <c r="M617" t="str">
        <f>""</f>
        <v/>
      </c>
      <c r="N617" t="str">
        <f>"Giacobazzi Gomme Corso Terme 27 35036 Montegrotto Terme PD"</f>
        <v>Giacobazzi Gomme Corso Terme 27 35036 Montegrotto Terme PD</v>
      </c>
      <c r="O617" t="str">
        <f>"Giacobazzi Gomme Corso Terme 27 35036 Montegrotto Terme PD"</f>
        <v>Giacobazzi Gomme Corso Terme 27 35036 Montegrotto Terme PD</v>
      </c>
      <c r="P617" t="str">
        <f>"ZCE1B81B43: [144.60€ ]"</f>
        <v>ZCE1B81B43: [144.60€ ]</v>
      </c>
      <c r="Q617" t="str">
        <f>""</f>
        <v/>
      </c>
      <c r="R617" t="str">
        <f>""</f>
        <v/>
      </c>
      <c r="S617" t="str">
        <f>""</f>
        <v/>
      </c>
      <c r="T617" t="str">
        <f>"https://portaletrasparenza.consorziobacchiglione.it/dettagli/attodigara/813/fornitura-n-2-pneumatici-per-mezzo-con-targa-ds717aa.html"</f>
        <v>https://portaletrasparenza.consorziobacchiglione.it/dettagli/attodigara/813/fornitura-n-2-pneumatici-per-mezzo-con-targa-ds717aa.html</v>
      </c>
      <c r="U617" t="str">
        <f>""</f>
        <v/>
      </c>
      <c r="V61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18" spans="1:22" x14ac:dyDescent="0.3">
      <c r="A618" t="str">
        <f>"Affidamento"</f>
        <v>Affidamento</v>
      </c>
      <c r="B618" t="str">
        <f>"Fornitura licenza Clear Scada Upgrade."</f>
        <v>Fornitura licenza Clear Scada Upgrade.</v>
      </c>
      <c r="C618" t="str">
        <f>"Z061B81566"</f>
        <v>Z061B81566</v>
      </c>
      <c r="D618" t="str">
        <f>"04/11/2021"</f>
        <v>04/11/2021</v>
      </c>
      <c r="E618" t="str">
        <f>""</f>
        <v/>
      </c>
      <c r="F618" t="str">
        <f>""</f>
        <v/>
      </c>
      <c r="G618" t="str">
        <f>"1350.00"</f>
        <v>1350.00</v>
      </c>
      <c r="H618" t="str">
        <f>"Consorzio di bonifica Bacchiglione"</f>
        <v>Consorzio di bonifica Bacchiglione</v>
      </c>
      <c r="I618" t="str">
        <f>"92223390284"</f>
        <v>92223390284</v>
      </c>
      <c r="J618" t="str">
        <f>"23-AFFIDAMENTO DIRETTO"</f>
        <v>23-AFFIDAMENTO DIRETTO</v>
      </c>
      <c r="K618" t="str">
        <f>"10/10/2021"</f>
        <v>10/10/2021</v>
      </c>
      <c r="L618" t="str">
        <f>"03/01/2021"</f>
        <v>03/01/2021</v>
      </c>
      <c r="M618" t="str">
        <f>""</f>
        <v/>
      </c>
      <c r="N618" t="str">
        <f>"SCHNEIDER ELECTRIC S.P.A. Via Circonvallazione Est, 1 - 24040 Stezzano (BG)"</f>
        <v>SCHNEIDER ELECTRIC S.P.A. Via Circonvallazione Est, 1 - 24040 Stezzano (BG)</v>
      </c>
      <c r="O618" t="str">
        <f>"SCHNEIDER ELECTRIC S.P.A. Via Circonvallazione Est, 1 - 24040 Stezzano (BG)"</f>
        <v>SCHNEIDER ELECTRIC S.P.A. Via Circonvallazione Est, 1 - 24040 Stezzano (BG)</v>
      </c>
      <c r="P618" t="str">
        <f>"Z061B81566: [1350.00€ ]"</f>
        <v>Z061B81566: [1350.00€ ]</v>
      </c>
      <c r="Q618" t="str">
        <f>""</f>
        <v/>
      </c>
      <c r="R618" t="str">
        <f>""</f>
        <v/>
      </c>
      <c r="S618" t="str">
        <f>""</f>
        <v/>
      </c>
      <c r="T618" t="str">
        <f>"https://portaletrasparenza.consorziobacchiglione.it/dettagli/attodigara/812/fornitura-licenza-clear-scada-upgrade.html"</f>
        <v>https://portaletrasparenza.consorziobacchiglione.it/dettagli/attodigara/812/fornitura-licenza-clear-scada-upgrade.html</v>
      </c>
      <c r="U618" t="str">
        <f>""</f>
        <v/>
      </c>
      <c r="V61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19" spans="1:22" x14ac:dyDescent="0.3">
      <c r="A619" t="str">
        <f>"Affidamento"</f>
        <v>Affidamento</v>
      </c>
      <c r="B619" t="str">
        <f>"Affidamento del servizio di formazione in materia di anticorruzione anno 2016. Incontro con i Consiglieri"</f>
        <v>Affidamento del servizio di formazione in materia di anticorruzione anno 2016. Incontro con i Consiglieri</v>
      </c>
      <c r="C619" t="str">
        <f>"ZC91B821C2"</f>
        <v>ZC91B821C2</v>
      </c>
      <c r="D619" t="str">
        <f>"04/11/2021"</f>
        <v>04/11/2021</v>
      </c>
      <c r="E619" t="str">
        <f>""</f>
        <v/>
      </c>
      <c r="F619" t="str">
        <f>""</f>
        <v/>
      </c>
      <c r="G619" t="str">
        <f>"951.34"</f>
        <v>951.34</v>
      </c>
      <c r="H619" t="str">
        <f>"Consorzio di bonifica Bacchiglione"</f>
        <v>Consorzio di bonifica Bacchiglione</v>
      </c>
      <c r="I619" t="str">
        <f>"92223390284"</f>
        <v>92223390284</v>
      </c>
      <c r="J619" t="str">
        <f>"23-AFFIDAMENTO DIRETTO"</f>
        <v>23-AFFIDAMENTO DIRETTO</v>
      </c>
      <c r="K619" t="str">
        <f>"10/10/2021"</f>
        <v>10/10/2021</v>
      </c>
      <c r="L619" t="str">
        <f>"26/10/2021"</f>
        <v>26/10/2021</v>
      </c>
      <c r="M619" t="str">
        <f>""</f>
        <v/>
      </c>
      <c r="N619" t="str">
        <f>"HUNEXT CONSULTING"</f>
        <v>HUNEXT CONSULTING</v>
      </c>
      <c r="O619" t="str">
        <f>"HUNEXT CONSULTING"</f>
        <v>HUNEXT CONSULTING</v>
      </c>
      <c r="P619" t="str">
        <f>"ZC91B821C2: [780.00€ ]"</f>
        <v>ZC91B821C2: [780.00€ ]</v>
      </c>
      <c r="Q619" t="str">
        <f>""</f>
        <v/>
      </c>
      <c r="R619" t="str">
        <f>""</f>
        <v/>
      </c>
      <c r="S619" t="str">
        <f>""</f>
        <v/>
      </c>
      <c r="T619" t="str">
        <f>"https://portaletrasparenza.consorziobacchiglione.it/dettagli/attodigara/810/affidamento-del-servizio-di-formazione-in-materia-di-anticorruzione-anno-2016-incontro-con-i-consiglieri.html"</f>
        <v>https://portaletrasparenza.consorziobacchiglione.it/dettagli/attodigara/810/affidamento-del-servizio-di-formazione-in-materia-di-anticorruzione-anno-2016-incontro-con-i-consiglieri.html</v>
      </c>
      <c r="U619" t="str">
        <f>""</f>
        <v/>
      </c>
      <c r="V619">
        <f>(SUBSTITUTE(Tabella1[[#This Row],[Importo di aggiudicazione]],".",","))-(SUBSTITUTE(  SUBSTITUTE(          SUBSTITUTE(Tabella1[[#This Row],[Dettaglio somme liquidate]],Tabella1[[#This Row],[CIG]]&amp;": [",""),"€ ]",""),".",","))</f>
        <v>171.34000000000003</v>
      </c>
    </row>
    <row r="620" spans="1:22" x14ac:dyDescent="0.3">
      <c r="A620" t="str">
        <f>"Affidamento"</f>
        <v>Affidamento</v>
      </c>
      <c r="B620" t="str">
        <f>"Affidamento del servizio di formazione in materia di anticorruzione anno 2016. Corso di aggiornamento per operatori del 26 ottobre 2016."</f>
        <v>Affidamento del servizio di formazione in materia di anticorruzione anno 2016. Corso di aggiornamento per operatori del 26 ottobre 2016.</v>
      </c>
      <c r="C620" t="str">
        <f>"Z751B845F2"</f>
        <v>Z751B845F2</v>
      </c>
      <c r="D620" t="str">
        <f>"04/11/2021"</f>
        <v>04/11/2021</v>
      </c>
      <c r="E620" t="str">
        <f>""</f>
        <v/>
      </c>
      <c r="F620" t="str">
        <f>""</f>
        <v/>
      </c>
      <c r="G620" t="str">
        <f>"1092.00"</f>
        <v>1092.00</v>
      </c>
      <c r="H620" t="str">
        <f>"Consorzio di bonifica Bacchiglione"</f>
        <v>Consorzio di bonifica Bacchiglione</v>
      </c>
      <c r="I620" t="str">
        <f>"92223390284"</f>
        <v>92223390284</v>
      </c>
      <c r="J620" t="str">
        <f>"23-AFFIDAMENTO DIRETTO"</f>
        <v>23-AFFIDAMENTO DIRETTO</v>
      </c>
      <c r="K620" t="str">
        <f>"10/10/2021"</f>
        <v>10/10/2021</v>
      </c>
      <c r="L620" t="str">
        <f>"26/10/2021"</f>
        <v>26/10/2021</v>
      </c>
      <c r="M620" t="str">
        <f>""</f>
        <v/>
      </c>
      <c r="N620" t="str">
        <f>"HUNEXT CONSULTING"</f>
        <v>HUNEXT CONSULTING</v>
      </c>
      <c r="O620" t="str">
        <f>"HUNEXT CONSULTING"</f>
        <v>HUNEXT CONSULTING</v>
      </c>
      <c r="P620" t="str">
        <f>"Z751B845F2: [364.00€ ]"</f>
        <v>Z751B845F2: [364.00€ ]</v>
      </c>
      <c r="Q620" t="str">
        <f>""</f>
        <v/>
      </c>
      <c r="R620" t="str">
        <f>""</f>
        <v/>
      </c>
      <c r="S620" t="str">
        <f>""</f>
        <v/>
      </c>
      <c r="T620" t="str">
        <f>"https://portaletrasparenza.consorziobacchiglione.it/dettagli/attodigara/811/affidamento-del-servizio-di-formazione-in-materia-di-anticorruzione-anno-2016-corso-di-aggiornamento-per-operatori-del-26-ottobre-2016.html"</f>
        <v>https://portaletrasparenza.consorziobacchiglione.it/dettagli/attodigara/811/affidamento-del-servizio-di-formazione-in-materia-di-anticorruzione-anno-2016-corso-di-aggiornamento-per-operatori-del-26-ottobre-2016.html</v>
      </c>
      <c r="U620" t="str">
        <f>""</f>
        <v/>
      </c>
      <c r="V620">
        <f>(SUBSTITUTE(Tabella1[[#This Row],[Importo di aggiudicazione]],".",","))-(SUBSTITUTE(  SUBSTITUTE(          SUBSTITUTE(Tabella1[[#This Row],[Dettaglio somme liquidate]],Tabella1[[#This Row],[CIG]]&amp;": [",""),"€ ]",""),".",","))</f>
        <v>728</v>
      </c>
    </row>
    <row r="621" spans="1:22" x14ac:dyDescent="0.3">
      <c r="A621" t="str">
        <f>"Affidamento"</f>
        <v>Affidamento</v>
      </c>
      <c r="B621" t="str">
        <f>"Fornitura di pali in legno di castagno - affidamento diretto ai sensi dell'art. 36, comma 2, del D.Lgs. n. 50/2016"</f>
        <v>Fornitura di pali in legno di castagno - affidamento diretto ai sensi dell'art. 36, comma 2, del D.Lgs. n. 50/2016</v>
      </c>
      <c r="C621" t="str">
        <f>"ZEA1B77A2B"</f>
        <v>ZEA1B77A2B</v>
      </c>
      <c r="D621" t="str">
        <f>"04/11/2021"</f>
        <v>04/11/2021</v>
      </c>
      <c r="E621" t="str">
        <f>""</f>
        <v/>
      </c>
      <c r="F621" t="str">
        <f>""</f>
        <v/>
      </c>
      <c r="G621" t="str">
        <f>"38951.97"</f>
        <v>38951.97</v>
      </c>
      <c r="H621" t="str">
        <f>"Consorzio di bonifica Bacchiglione"</f>
        <v>Consorzio di bonifica Bacchiglione</v>
      </c>
      <c r="I621" t="str">
        <f>"92223390284"</f>
        <v>92223390284</v>
      </c>
      <c r="J621" t="str">
        <f>"23-AFFIDAMENTO DIRETTO"</f>
        <v>23-AFFIDAMENTO DIRETTO</v>
      </c>
      <c r="K621" t="str">
        <f>"10/10/2021"</f>
        <v>10/10/2021</v>
      </c>
      <c r="L621" t="str">
        <f>"09/10/2021"</f>
        <v>09/10/2021</v>
      </c>
      <c r="M621" t="str">
        <f>""</f>
        <v/>
      </c>
      <c r="N621" t="str">
        <f>"VALMORBIDA ELIO"</f>
        <v>VALMORBIDA ELIO</v>
      </c>
      <c r="O621" t="str">
        <f>"VALMORBIDA ELIO"</f>
        <v>VALMORBIDA ELIO</v>
      </c>
      <c r="P621" t="str">
        <f>"ZEA1B77A2B: [37530.65€ ]"</f>
        <v>ZEA1B77A2B: [37530.65€ ]</v>
      </c>
      <c r="Q621" t="str">
        <f>""</f>
        <v/>
      </c>
      <c r="R621" t="str">
        <f>""</f>
        <v/>
      </c>
      <c r="S621" t="str">
        <f>""</f>
        <v/>
      </c>
      <c r="T621" t="str">
        <f>"https://portaletrasparenza.consorziobacchiglione.it/dettagli/attodigara/20/fornitura-di-pali-in-legno-di-castagno-affidamento-diretto-ai-sensi-dell-art-36-comma-2-del-d-lgs-n-50-2016.html"</f>
        <v>https://portaletrasparenza.consorziobacchiglione.it/dettagli/attodigara/20/fornitura-di-pali-in-legno-di-castagno-affidamento-diretto-ai-sensi-dell-art-36-comma-2-del-d-lgs-n-50-2016.html</v>
      </c>
      <c r="U621" t="str">
        <f>""</f>
        <v/>
      </c>
      <c r="V621">
        <f>(SUBSTITUTE(Tabella1[[#This Row],[Importo di aggiudicazione]],".",","))-(SUBSTITUTE(  SUBSTITUTE(          SUBSTITUTE(Tabella1[[#This Row],[Dettaglio somme liquidate]],Tabella1[[#This Row],[CIG]]&amp;": [",""),"€ ]",""),".",","))</f>
        <v>1421.3199999999997</v>
      </c>
    </row>
    <row r="622" spans="1:22" x14ac:dyDescent="0.3">
      <c r="A622" t="str">
        <f>"Affidamento"</f>
        <v>Affidamento</v>
      </c>
      <c r="B622" t="str">
        <f>"Analisi di terreno e sedimento su scoli Consorziali (scolo Comuna, scolo Bottesina)"</f>
        <v>Analisi di terreno e sedimento su scoli Consorziali (scolo Comuna, scolo Bottesina)</v>
      </c>
      <c r="C622" t="str">
        <f>"Z161BF7B13"</f>
        <v>Z161BF7B13</v>
      </c>
      <c r="D622" t="str">
        <f>"04/11/2021"</f>
        <v>04/11/2021</v>
      </c>
      <c r="E622" t="str">
        <f>""</f>
        <v/>
      </c>
      <c r="F622" t="str">
        <f>""</f>
        <v/>
      </c>
      <c r="G622" t="str">
        <f>"840.00"</f>
        <v>840.00</v>
      </c>
      <c r="H622" t="str">
        <f>"Consorzio di bonifica Bacchiglione"</f>
        <v>Consorzio di bonifica Bacchiglione</v>
      </c>
      <c r="I622" t="str">
        <f>"92223390284"</f>
        <v>92223390284</v>
      </c>
      <c r="J622" t="str">
        <f>"23-AFFIDAMENTO DIRETTO"</f>
        <v>23-AFFIDAMENTO DIRETTO</v>
      </c>
      <c r="K622" t="str">
        <f>"10/11/2021"</f>
        <v>10/11/2021</v>
      </c>
      <c r="L622" t="str">
        <f>"25/01/2021"</f>
        <v>25/01/2021</v>
      </c>
      <c r="M622" t="str">
        <f>""</f>
        <v/>
      </c>
      <c r="N622" t="str">
        <f>"Innovazione Chimica s.r.l. Via Lazio 36 31045 Motta di Livenza TV"</f>
        <v>Innovazione Chimica s.r.l. Via Lazio 36 31045 Motta di Livenza TV</v>
      </c>
      <c r="O622" t="str">
        <f>"Innovazione Chimica s.r.l. Via Lazio 36 31045 Motta di Livenza TV"</f>
        <v>Innovazione Chimica s.r.l. Via Lazio 36 31045 Motta di Livenza TV</v>
      </c>
      <c r="P622" t="str">
        <f>"Z161BF7B13: [840.00€ ]"</f>
        <v>Z161BF7B13: [840.00€ ]</v>
      </c>
      <c r="Q622" t="str">
        <f>""</f>
        <v/>
      </c>
      <c r="R622" t="str">
        <f>""</f>
        <v/>
      </c>
      <c r="S622" t="str">
        <f>""</f>
        <v/>
      </c>
      <c r="T622" t="str">
        <f>"https://portaletrasparenza.consorziobacchiglione.it/dettagli/attodigara/902/analisi-di-terreno-e-sedimento-su-scoli-consorziali-scolo-comuna-scolo-bottesina.html"</f>
        <v>https://portaletrasparenza.consorziobacchiglione.it/dettagli/attodigara/902/analisi-di-terreno-e-sedimento-su-scoli-consorziali-scolo-comuna-scolo-bottesina.html</v>
      </c>
      <c r="U622" t="str">
        <f>""</f>
        <v/>
      </c>
      <c r="V6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23" spans="1:22" x14ac:dyDescent="0.3">
      <c r="A623" t="str">
        <f>"Affidamento"</f>
        <v>Affidamento</v>
      </c>
      <c r="B623" t="str">
        <f>"Lavoro di smontaggio completo, pulizia generale, sabbiatura di tutti i componenti su elettrovalvola di disadescamento Mod. ED200X/SF V.380 Impianto Noventana."</f>
        <v>Lavoro di smontaggio completo, pulizia generale, sabbiatura di tutti i componenti su elettrovalvola di disadescamento Mod. ED200X/SF V.380 Impianto Noventana.</v>
      </c>
      <c r="C623" t="str">
        <f>"Z061BF73D2"</f>
        <v>Z061BF73D2</v>
      </c>
      <c r="D623" t="str">
        <f>"04/11/2021"</f>
        <v>04/11/2021</v>
      </c>
      <c r="E623" t="str">
        <f>""</f>
        <v/>
      </c>
      <c r="F623" t="str">
        <f>""</f>
        <v/>
      </c>
      <c r="G623" t="str">
        <f>"798.00"</f>
        <v>798.00</v>
      </c>
      <c r="H623" t="str">
        <f>"Consorzio di bonifica Bacchiglione"</f>
        <v>Consorzio di bonifica Bacchiglione</v>
      </c>
      <c r="I623" t="str">
        <f>"92223390284"</f>
        <v>92223390284</v>
      </c>
      <c r="J623" t="str">
        <f>"23-AFFIDAMENTO DIRETTO"</f>
        <v>23-AFFIDAMENTO DIRETTO</v>
      </c>
      <c r="K623" t="str">
        <f>"10/11/2021"</f>
        <v>10/11/2021</v>
      </c>
      <c r="L623" t="str">
        <f>"05/01/2021"</f>
        <v>05/01/2021</v>
      </c>
      <c r="M623" t="str">
        <f>""</f>
        <v/>
      </c>
      <c r="N623" t="str">
        <f>"Scarpa Sergio Elettromeccanica S.n.c. di Scarpa Paola E C. Via A. Vivaldi 7 35028 Piove di Sacco PD"</f>
        <v>Scarpa Sergio Elettromeccanica S.n.c. di Scarpa Paola E C. Via A. Vivaldi 7 35028 Piove di Sacco PD</v>
      </c>
      <c r="O623" t="str">
        <f>"Scarpa Sergio Elettromeccanica S.n.c. di Scarpa Paola E C. Via A. Vivaldi 7 35028 Piove di Sacco PD"</f>
        <v>Scarpa Sergio Elettromeccanica S.n.c. di Scarpa Paola E C. Via A. Vivaldi 7 35028 Piove di Sacco PD</v>
      </c>
      <c r="P623" t="str">
        <f>"Z061BF73D2: [798.00€ ]"</f>
        <v>Z061BF73D2: [798.00€ ]</v>
      </c>
      <c r="Q623" t="str">
        <f>""</f>
        <v/>
      </c>
      <c r="R623" t="str">
        <f>""</f>
        <v/>
      </c>
      <c r="S623" t="str">
        <f>""</f>
        <v/>
      </c>
      <c r="T623" t="str">
        <f>"https://portaletrasparenza.consorziobacchiglione.it/dettagli/attodigara/901/lavoro-di-smontaggio-completo-pulizia-generale-sabbiatura-di-tutti-i-componenti-su-elettrovalvola-di-disadescamento-mod-ed200x-sf-v-380-impianto-noventana.html"</f>
        <v>https://portaletrasparenza.consorziobacchiglione.it/dettagli/attodigara/901/lavoro-di-smontaggio-completo-pulizia-generale-sabbiatura-di-tutti-i-componenti-su-elettrovalvola-di-disadescamento-mod-ed200x-sf-v-380-impianto-noventana.html</v>
      </c>
      <c r="U623" t="str">
        <f>""</f>
        <v/>
      </c>
      <c r="V6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24" spans="1:22" x14ac:dyDescent="0.3">
      <c r="A624" t="str">
        <f>"Affidamento"</f>
        <v>Affidamento</v>
      </c>
      <c r="B624" t="str">
        <f>"Fornitura strumento portatile di misura per verifiche impianti Kyoritsu modello KEW5410"</f>
        <v>Fornitura strumento portatile di misura per verifiche impianti Kyoritsu modello KEW5410</v>
      </c>
      <c r="C624" t="str">
        <f>"ZE21BF7254"</f>
        <v>ZE21BF7254</v>
      </c>
      <c r="D624" t="str">
        <f>"04/11/2021"</f>
        <v>04/11/2021</v>
      </c>
      <c r="E624" t="str">
        <f>""</f>
        <v/>
      </c>
      <c r="F624" t="str">
        <f>""</f>
        <v/>
      </c>
      <c r="G624" t="str">
        <f>"990.00"</f>
        <v>990.00</v>
      </c>
      <c r="H624" t="str">
        <f>"Consorzio di bonifica Bacchiglione"</f>
        <v>Consorzio di bonifica Bacchiglione</v>
      </c>
      <c r="I624" t="str">
        <f>"92223390284"</f>
        <v>92223390284</v>
      </c>
      <c r="J624" t="str">
        <f>"23-AFFIDAMENTO DIRETTO"</f>
        <v>23-AFFIDAMENTO DIRETTO</v>
      </c>
      <c r="K624" t="str">
        <f>"10/11/2021"</f>
        <v>10/11/2021</v>
      </c>
      <c r="L624" t="str">
        <f>"31/05/2021"</f>
        <v>31/05/2021</v>
      </c>
      <c r="M624" t="str">
        <f>""</f>
        <v/>
      </c>
      <c r="N624" t="str">
        <f>"Vemer S.p.A. Via Camp Lonc 16 32030 Z.I. Villapaiera Feltre BL"</f>
        <v>Vemer S.p.A. Via Camp Lonc 16 32030 Z.I. Villapaiera Feltre BL</v>
      </c>
      <c r="O624" t="str">
        <f>"Vemer S.p.A. Via Camp Lonc 16 32030 Z.I. Villapaiera Feltre BL"</f>
        <v>Vemer S.p.A. Via Camp Lonc 16 32030 Z.I. Villapaiera Feltre BL</v>
      </c>
      <c r="P624" t="str">
        <f>"ZE21BF7254: [990.00€ ]"</f>
        <v>ZE21BF7254: [990.00€ ]</v>
      </c>
      <c r="Q624" t="str">
        <f>""</f>
        <v/>
      </c>
      <c r="R624" t="str">
        <f>""</f>
        <v/>
      </c>
      <c r="S624" t="str">
        <f>""</f>
        <v/>
      </c>
      <c r="T624" t="str">
        <f>"https://portaletrasparenza.consorziobacchiglione.it/dettagli/attodigara/900/fornitura-strumento-portatile-di-misura-per-verifiche-impianti-kyoritsu-modello-kew5410.html"</f>
        <v>https://portaletrasparenza.consorziobacchiglione.it/dettagli/attodigara/900/fornitura-strumento-portatile-di-misura-per-verifiche-impianti-kyoritsu-modello-kew5410.html</v>
      </c>
      <c r="U624" t="str">
        <f>""</f>
        <v/>
      </c>
      <c r="V6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25" spans="1:22" x14ac:dyDescent="0.3">
      <c r="A625" t="str">
        <f>"Affidamento"</f>
        <v>Affidamento</v>
      </c>
      <c r="B625" t="str">
        <f>"Riparazione Kit blocchetti porte su mezzo con targa: CB934XY."</f>
        <v>Riparazione Kit blocchetti porte su mezzo con targa: CB934XY.</v>
      </c>
      <c r="C625" t="str">
        <f>"Z2F1BF665C"</f>
        <v>Z2F1BF665C</v>
      </c>
      <c r="D625" t="str">
        <f>"04/11/2021"</f>
        <v>04/11/2021</v>
      </c>
      <c r="E625" t="str">
        <f>""</f>
        <v/>
      </c>
      <c r="F625" t="str">
        <f>""</f>
        <v/>
      </c>
      <c r="G625" t="str">
        <f>"393.69"</f>
        <v>393.69</v>
      </c>
      <c r="H625" t="str">
        <f>"Consorzio di bonifica Bacchiglione"</f>
        <v>Consorzio di bonifica Bacchiglione</v>
      </c>
      <c r="I625" t="str">
        <f>"92223390284"</f>
        <v>92223390284</v>
      </c>
      <c r="J625" t="str">
        <f>"23-AFFIDAMENTO DIRETTO"</f>
        <v>23-AFFIDAMENTO DIRETTO</v>
      </c>
      <c r="K625" t="str">
        <f>"10/11/2021"</f>
        <v>10/11/2021</v>
      </c>
      <c r="L625" t="str">
        <f>"15/05/2021"</f>
        <v>15/05/2021</v>
      </c>
      <c r="M625" t="str">
        <f>""</f>
        <v/>
      </c>
      <c r="N625" t="str">
        <f>"Mardegan F.lli s.n.c. Via Argine Destro 13A 35020 Brenta di Correzzola PD"</f>
        <v>Mardegan F.lli s.n.c. Via Argine Destro 13A 35020 Brenta di Correzzola PD</v>
      </c>
      <c r="O625" t="str">
        <f>"Mardegan F.lli s.n.c. Via Argine Destro 13A 35020 Brenta di Correzzola PD"</f>
        <v>Mardegan F.lli s.n.c. Via Argine Destro 13A 35020 Brenta di Correzzola PD</v>
      </c>
      <c r="P625" t="str">
        <f>"Z2F1BF665C: [393.69€ ]"</f>
        <v>Z2F1BF665C: [393.69€ ]</v>
      </c>
      <c r="Q625" t="str">
        <f>""</f>
        <v/>
      </c>
      <c r="R625" t="str">
        <f>""</f>
        <v/>
      </c>
      <c r="S625" t="str">
        <f>""</f>
        <v/>
      </c>
      <c r="T625" t="str">
        <f>"https://portaletrasparenza.consorziobacchiglione.it/dettagli/attodigara/899/riparazione-kit-blocchetti-porte-su-mezzo-con-targa-cb934xy.html"</f>
        <v>https://portaletrasparenza.consorziobacchiglione.it/dettagli/attodigara/899/riparazione-kit-blocchetti-porte-su-mezzo-con-targa-cb934xy.html</v>
      </c>
      <c r="U625" t="str">
        <f>""</f>
        <v/>
      </c>
      <c r="V6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26" spans="1:22" x14ac:dyDescent="0.3">
      <c r="A626" t="str">
        <f>"Affidamento"</f>
        <v>Affidamento</v>
      </c>
      <c r="B626" t="str">
        <f>"Trasporto escavatore cingolato Liebherr 904 da scolo Scarpion a scolo Drago"</f>
        <v>Trasporto escavatore cingolato Liebherr 904 da scolo Scarpion a scolo Drago</v>
      </c>
      <c r="C626" t="str">
        <f>"ZE633D89E9"</f>
        <v>ZE633D89E9</v>
      </c>
      <c r="D626" t="str">
        <f>"11/11/2021"</f>
        <v>11/11/2021</v>
      </c>
      <c r="E626" t="str">
        <f>""</f>
        <v/>
      </c>
      <c r="F626" t="str">
        <f>""</f>
        <v/>
      </c>
      <c r="G626" t="str">
        <f>"210.00"</f>
        <v>210.00</v>
      </c>
      <c r="H626" t="str">
        <f>"Consorzio di bonifica Bacchiglione"</f>
        <v>Consorzio di bonifica Bacchiglione</v>
      </c>
      <c r="I626" t="str">
        <f>"92223390284"</f>
        <v>92223390284</v>
      </c>
      <c r="J626" t="str">
        <f>"23-AFFIDAMENTO DIRETTO"</f>
        <v>23-AFFIDAMENTO DIRETTO</v>
      </c>
      <c r="K626" t="str">
        <f>"10/11/2021"</f>
        <v>10/11/2021</v>
      </c>
      <c r="L626" t="str">
        <f>"19/11/2021"</f>
        <v>19/11/2021</v>
      </c>
      <c r="M626" t="str">
        <f>""</f>
        <v/>
      </c>
      <c r="N626" t="str">
        <f>"Trovò s.r.l. Via Idrovora, 3 - 35020 Codevigo (PD)"</f>
        <v>Trovò s.r.l. Via Idrovora, 3 - 35020 Codevigo (PD)</v>
      </c>
      <c r="O626" t="str">
        <f>"Trovò s.r.l. Via Idrovora, 3 - 35020 Codevigo (PD)"</f>
        <v>Trovò s.r.l. Via Idrovora, 3 - 35020 Codevigo (PD)</v>
      </c>
      <c r="P626" t="str">
        <f>"ZE633D89E9: [210.00€ ]"</f>
        <v>ZE633D89E9: [210.00€ ]</v>
      </c>
      <c r="Q626" t="str">
        <f>""</f>
        <v/>
      </c>
      <c r="R626" t="str">
        <f>""</f>
        <v/>
      </c>
      <c r="S626" t="str">
        <f>""</f>
        <v/>
      </c>
      <c r="T626" t="str">
        <f>"https://portaletrasparenza.consorziobacchiglione.it/dettagli/attodigara/7269/trasporto-escavatore-cingolato-liebherr-904-da-scolo-scarpion-a-scolo-drago.html"</f>
        <v>https://portaletrasparenza.consorziobacchiglione.it/dettagli/attodigara/7269/trasporto-escavatore-cingolato-liebherr-904-da-scolo-scarpion-a-scolo-drago.html</v>
      </c>
      <c r="U626" t="str">
        <f>"https://portaletrasparenza.consorziobacchiglione.it/download/attodigara/7269/63ac45e6d66e1.PDF"</f>
        <v>https://portaletrasparenza.consorziobacchiglione.it/download/attodigara/7269/63ac45e6d66e1.PDF</v>
      </c>
      <c r="V6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27" spans="1:22" x14ac:dyDescent="0.3">
      <c r="A627" t="str">
        <f>"Affidamento"</f>
        <v>Affidamento</v>
      </c>
      <c r="B627" t="str">
        <f>"Manutenzione e riparazione mezzo con targa: AKB005"</f>
        <v>Manutenzione e riparazione mezzo con targa: AKB005</v>
      </c>
      <c r="C627" t="str">
        <f>"Z5733D86AA"</f>
        <v>Z5733D86AA</v>
      </c>
      <c r="D627" t="str">
        <f>"11/11/2021"</f>
        <v>11/11/2021</v>
      </c>
      <c r="E627" t="str">
        <f>""</f>
        <v/>
      </c>
      <c r="F627" t="str">
        <f>""</f>
        <v/>
      </c>
      <c r="G627" t="str">
        <f>"791.30"</f>
        <v>791.30</v>
      </c>
      <c r="H627" t="str">
        <f>"Consorzio di bonifica Bacchiglione"</f>
        <v>Consorzio di bonifica Bacchiglione</v>
      </c>
      <c r="I627" t="str">
        <f>"92223390284"</f>
        <v>92223390284</v>
      </c>
      <c r="J627" t="str">
        <f>"23-AFFIDAMENTO DIRETTO"</f>
        <v>23-AFFIDAMENTO DIRETTO</v>
      </c>
      <c r="K627" t="str">
        <f>"10/11/2021"</f>
        <v>10/11/2021</v>
      </c>
      <c r="L627" t="str">
        <f>"22/11/2021"</f>
        <v>22/11/2021</v>
      </c>
      <c r="M627" t="str">
        <f>""</f>
        <v/>
      </c>
      <c r="N627" t="str">
        <f>"Officina Biesse S.n.c. Via Matteotti 24 35020 Arzergrande PD"</f>
        <v>Officina Biesse S.n.c. Via Matteotti 24 35020 Arzergrande PD</v>
      </c>
      <c r="O627" t="str">
        <f>"Officina Biesse S.n.c. Via Matteotti 24 35020 Arzergrande PD"</f>
        <v>Officina Biesse S.n.c. Via Matteotti 24 35020 Arzergrande PD</v>
      </c>
      <c r="P627" t="str">
        <f>"Z5733D86AA: [791.30€ ]"</f>
        <v>Z5733D86AA: [791.30€ ]</v>
      </c>
      <c r="Q627" t="str">
        <f>""</f>
        <v/>
      </c>
      <c r="R627" t="str">
        <f>""</f>
        <v/>
      </c>
      <c r="S627" t="str">
        <f>""</f>
        <v/>
      </c>
      <c r="T627" t="str">
        <f>"https://portaletrasparenza.consorziobacchiglione.it/dettagli/attodigara/7268/manutenzione-e-riparazione-mezzo-con-targa-akb005.html"</f>
        <v>https://portaletrasparenza.consorziobacchiglione.it/dettagli/attodigara/7268/manutenzione-e-riparazione-mezzo-con-targa-akb005.html</v>
      </c>
      <c r="U627" t="str">
        <f>"https://portaletrasparenza.consorziobacchiglione.it/download/attodigara/7268/63ac45e69d356.PDF"</f>
        <v>https://portaletrasparenza.consorziobacchiglione.it/download/attodigara/7268/63ac45e69d356.PDF</v>
      </c>
      <c r="V62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28" spans="1:22" x14ac:dyDescent="0.3">
      <c r="A628" t="str">
        <f>"Affidamento"</f>
        <v>Affidamento</v>
      </c>
      <c r="B628" t="str">
        <f>"Lavaggio cisterne mobili per revisione (n.5-7-8) presso C.O.S.Margherita"</f>
        <v>Lavaggio cisterne mobili per revisione (n.5-7-8) presso C.O.S.Margherita</v>
      </c>
      <c r="C628" t="str">
        <f>"ZB133D856E"</f>
        <v>ZB133D856E</v>
      </c>
      <c r="D628" t="str">
        <f>"11/11/2021"</f>
        <v>11/11/2021</v>
      </c>
      <c r="E628" t="str">
        <f>""</f>
        <v/>
      </c>
      <c r="F628" t="str">
        <f>""</f>
        <v/>
      </c>
      <c r="G628" t="str">
        <f>"402.00"</f>
        <v>402.00</v>
      </c>
      <c r="H628" t="str">
        <f>"Consorzio di bonifica Bacchiglione"</f>
        <v>Consorzio di bonifica Bacchiglione</v>
      </c>
      <c r="I628" t="str">
        <f>"92223390284"</f>
        <v>92223390284</v>
      </c>
      <c r="J628" t="str">
        <f>"23-AFFIDAMENTO DIRETTO"</f>
        <v>23-AFFIDAMENTO DIRETTO</v>
      </c>
      <c r="K628" t="str">
        <f>"10/11/2021"</f>
        <v>10/11/2021</v>
      </c>
      <c r="L628" t="str">
        <f>"22/11/2021"</f>
        <v>22/11/2021</v>
      </c>
      <c r="M628" t="str">
        <f>""</f>
        <v/>
      </c>
      <c r="N628" t="str">
        <f>"Officina Biesse S.n.c. Via Matteotti 24 35020 Arzergrande PD"</f>
        <v>Officina Biesse S.n.c. Via Matteotti 24 35020 Arzergrande PD</v>
      </c>
      <c r="O628" t="str">
        <f>"Officina Biesse S.n.c. Via Matteotti 24 35020 Arzergrande PD"</f>
        <v>Officina Biesse S.n.c. Via Matteotti 24 35020 Arzergrande PD</v>
      </c>
      <c r="P628" t="str">
        <f>"ZB133D856E: [402.00€ ]"</f>
        <v>ZB133D856E: [402.00€ ]</v>
      </c>
      <c r="Q628" t="str">
        <f>""</f>
        <v/>
      </c>
      <c r="R628" t="str">
        <f>""</f>
        <v/>
      </c>
      <c r="S628" t="str">
        <f>""</f>
        <v/>
      </c>
      <c r="T628" t="str">
        <f>"https://portaletrasparenza.consorziobacchiglione.it/dettagli/attodigara/7267/lavaggio-cisterne-mobili-per-revisione-n-5-7-8-presso-c-o-s-margherita.html"</f>
        <v>https://portaletrasparenza.consorziobacchiglione.it/dettagli/attodigara/7267/lavaggio-cisterne-mobili-per-revisione-n-5-7-8-presso-c-o-s-margherita.html</v>
      </c>
      <c r="U628" t="str">
        <f>"https://portaletrasparenza.consorziobacchiglione.it/download/attodigara/7267/63ac45e6634a5.PDF"</f>
        <v>https://portaletrasparenza.consorziobacchiglione.it/download/attodigara/7267/63ac45e6634a5.PDF</v>
      </c>
      <c r="V6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29" spans="1:22" x14ac:dyDescent="0.3">
      <c r="A629" t="str">
        <f>"Affidamento"</f>
        <v>Affidamento</v>
      </c>
      <c r="B629" t="str">
        <f>"VALUTAZIONE IMPATTO AMBIENTALE (V.I.A.) - Oneri di istruttoria - Processo ID 021-21."</f>
        <v>VALUTAZIONE IMPATTO AMBIENTALE (V.I.A.) - Oneri di istruttoria - Processo ID 021-21.</v>
      </c>
      <c r="C629" t="str">
        <f>"Z9033DE863"</f>
        <v>Z9033DE863</v>
      </c>
      <c r="D629" t="str">
        <f>"11/11/2021"</f>
        <v>11/11/2021</v>
      </c>
      <c r="E629" t="str">
        <f>""</f>
        <v/>
      </c>
      <c r="F629" t="str">
        <f>""</f>
        <v/>
      </c>
      <c r="G629" t="str">
        <f>"10284.23"</f>
        <v>10284.23</v>
      </c>
      <c r="H629" t="str">
        <f>"Consorzio di bonifica Bacchiglione"</f>
        <v>Consorzio di bonifica Bacchiglione</v>
      </c>
      <c r="I629" t="str">
        <f>"92223390284"</f>
        <v>92223390284</v>
      </c>
      <c r="J629" t="str">
        <f>"23-AFFIDAMENTO DIRETTO"</f>
        <v>23-AFFIDAMENTO DIRETTO</v>
      </c>
      <c r="K629" t="str">
        <f>"10/11/2021"</f>
        <v>10/11/2021</v>
      </c>
      <c r="L629" t="str">
        <f>"12/11/2021"</f>
        <v>12/11/2021</v>
      </c>
      <c r="M629" t="str">
        <f>""</f>
        <v/>
      </c>
      <c r="N629" t="str">
        <f>"REGIONE DEL VENETO - Segreteria Regionale per l'Ambiente"</f>
        <v>REGIONE DEL VENETO - Segreteria Regionale per l'Ambiente</v>
      </c>
      <c r="O629" t="str">
        <f>"REGIONE DEL VENETO - Segreteria Regionale per l'Ambiente"</f>
        <v>REGIONE DEL VENETO - Segreteria Regionale per l'Ambiente</v>
      </c>
      <c r="P629" t="str">
        <f>"Z9033DE863: [10284.23€ ]"</f>
        <v>Z9033DE863: [10284.23€ ]</v>
      </c>
      <c r="Q629" t="str">
        <f>""</f>
        <v/>
      </c>
      <c r="R629" t="str">
        <f>""</f>
        <v/>
      </c>
      <c r="S629" t="str">
        <f>""</f>
        <v/>
      </c>
      <c r="T629" t="str">
        <f>"https://portaletrasparenza.consorziobacchiglione.it/dettagli/attodigara/7266/valutazione-impatto-ambientale-v-i-a-oneri-di-istruttoria-processo-id-021-21.html"</f>
        <v>https://portaletrasparenza.consorziobacchiglione.it/dettagli/attodigara/7266/valutazione-impatto-ambientale-v-i-a-oneri-di-istruttoria-processo-id-021-21.html</v>
      </c>
      <c r="U629" t="str">
        <f>"https://portaletrasparenza.consorziobacchiglione.it/download/attodigara/7266/63ac45e80a4db.PDF"</f>
        <v>https://portaletrasparenza.consorziobacchiglione.it/download/attodigara/7266/63ac45e80a4db.PDF</v>
      </c>
      <c r="V6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30" spans="1:22" x14ac:dyDescent="0.3">
      <c r="A630" t="str">
        <f>"Affidamento"</f>
        <v>Affidamento</v>
      </c>
      <c r="B630" t="str">
        <f>"Indagine geotecnica -geologica completa di relazione e analisi chimico -fisiche per gestione terre. - Processo ID 004-15."</f>
        <v>Indagine geotecnica -geologica completa di relazione e analisi chimico -fisiche per gestione terre. - Processo ID 004-15.</v>
      </c>
      <c r="C630" t="str">
        <f>"Z1117FC1AB"</f>
        <v>Z1117FC1AB</v>
      </c>
      <c r="D630" t="str">
        <f>"04/11/2021"</f>
        <v>04/11/2021</v>
      </c>
      <c r="E630" t="str">
        <f>""</f>
        <v/>
      </c>
      <c r="F630" t="str">
        <f>""</f>
        <v/>
      </c>
      <c r="G630" t="str">
        <f>"1337.70"</f>
        <v>1337.70</v>
      </c>
      <c r="H630" t="str">
        <f>"Consorzio di bonifica Bacchiglione"</f>
        <v>Consorzio di bonifica Bacchiglione</v>
      </c>
      <c r="I630" t="str">
        <f>"92223390284"</f>
        <v>92223390284</v>
      </c>
      <c r="J630" t="str">
        <f>"23-AFFIDAMENTO DIRETTO"</f>
        <v>23-AFFIDAMENTO DIRETTO</v>
      </c>
      <c r="K630" t="str">
        <f>"11/01/2021"</f>
        <v>11/01/2021</v>
      </c>
      <c r="L630" t="str">
        <f>"06/05/2021"</f>
        <v>06/05/2021</v>
      </c>
      <c r="M630" t="str">
        <f>""</f>
        <v/>
      </c>
      <c r="N630" t="str">
        <f>"Geologia Tecnica sas di Vorlicek P.A. E C."</f>
        <v>Geologia Tecnica sas di Vorlicek P.A. E C.</v>
      </c>
      <c r="O630" t="str">
        <f>"Geologia Tecnica sas di Vorlicek P.A. E C."</f>
        <v>Geologia Tecnica sas di Vorlicek P.A. E C.</v>
      </c>
      <c r="P630" t="str">
        <f>"Z1117FC1AB: [1337.70€ ]"</f>
        <v>Z1117FC1AB: [1337.70€ ]</v>
      </c>
      <c r="Q630" t="str">
        <f>""</f>
        <v/>
      </c>
      <c r="R630" t="str">
        <f>""</f>
        <v/>
      </c>
      <c r="S630" t="str">
        <f>""</f>
        <v/>
      </c>
      <c r="T630" t="str">
        <f>"https://portaletrasparenza.consorziobacchiglione.it/dettagli/attodigara/39/indagine-geotecnica-geologica-completa-di-relazione-e-analisi-chimico-fisiche-per-gestione-terre-processo-id-004-15.html"</f>
        <v>https://portaletrasparenza.consorziobacchiglione.it/dettagli/attodigara/39/indagine-geotecnica-geologica-completa-di-relazione-e-analisi-chimico-fisiche-per-gestione-terre-processo-id-004-15.html</v>
      </c>
      <c r="U630" t="str">
        <f>""</f>
        <v/>
      </c>
      <c r="V6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31" spans="1:22" x14ac:dyDescent="0.3">
      <c r="A631" t="str">
        <f>"Affidamento"</f>
        <v>Affidamento</v>
      </c>
      <c r="B631" t="str">
        <f>"Assistenza alla D.L. in corso d'opera per le strutture: Riprogettazioni - Processo ID 006-03."</f>
        <v>Assistenza alla D.L. in corso d'opera per le strutture: Riprogettazioni - Processo ID 006-03.</v>
      </c>
      <c r="C631" t="str">
        <f>"Z5417F4785"</f>
        <v>Z5417F4785</v>
      </c>
      <c r="D631" t="str">
        <f>"04/11/2021"</f>
        <v>04/11/2021</v>
      </c>
      <c r="E631" t="str">
        <f>""</f>
        <v/>
      </c>
      <c r="F631" t="str">
        <f>""</f>
        <v/>
      </c>
      <c r="G631" t="str">
        <f>"7488.00"</f>
        <v>7488.00</v>
      </c>
      <c r="H631" t="str">
        <f>"Consorzio di bonifica Bacchiglione"</f>
        <v>Consorzio di bonifica Bacchiglione</v>
      </c>
      <c r="I631" t="str">
        <f>"92223390284"</f>
        <v>92223390284</v>
      </c>
      <c r="J631" t="str">
        <f>"23-AFFIDAMENTO DIRETTO"</f>
        <v>23-AFFIDAMENTO DIRETTO</v>
      </c>
      <c r="K631" t="str">
        <f>"11/01/2021"</f>
        <v>11/01/2021</v>
      </c>
      <c r="L631" t="str">
        <f>"27/01/2021"</f>
        <v>27/01/2021</v>
      </c>
      <c r="M631" t="str">
        <f>""</f>
        <v/>
      </c>
      <c r="N631" t="str">
        <f>"SIST - Studio di Ingegneria Strutturale Organte E Bortot"</f>
        <v>SIST - Studio di Ingegneria Strutturale Organte E Bortot</v>
      </c>
      <c r="O631" t="str">
        <f>"SIST - Studio di Ingegneria Strutturale Organte E Bortot"</f>
        <v>SIST - Studio di Ingegneria Strutturale Organte E Bortot</v>
      </c>
      <c r="P631" t="str">
        <f>"Z5417F4785: [7488.00€ ]"</f>
        <v>Z5417F4785: [7488.00€ ]</v>
      </c>
      <c r="Q631" t="str">
        <f>""</f>
        <v/>
      </c>
      <c r="R631" t="str">
        <f>""</f>
        <v/>
      </c>
      <c r="S631" t="str">
        <f>""</f>
        <v/>
      </c>
      <c r="T631" t="str">
        <f>"https://portaletrasparenza.consorziobacchiglione.it/dettagli/attodigara/38/assistenza-alla-d-l-in-corso-d-opera-per-le-strutture-riprogettazioni-processo-id-006-03.html"</f>
        <v>https://portaletrasparenza.consorziobacchiglione.it/dettagli/attodigara/38/assistenza-alla-d-l-in-corso-d-opera-per-le-strutture-riprogettazioni-processo-id-006-03.html</v>
      </c>
      <c r="U631" t="str">
        <f>""</f>
        <v/>
      </c>
      <c r="V6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32" spans="1:22" x14ac:dyDescent="0.3">
      <c r="A632" t="str">
        <f>"Affidamento"</f>
        <v>Affidamento</v>
      </c>
      <c r="B632" t="str">
        <f>"OGGETTO: FORNITURA DI N. 1 MIDI ESCAVATORE CINGOLATO NUOVO DI FABBRICA CON BRACCIO TRIPLICE, DEL PESO OPERATIVO COMPRESO TRA 85 Q.LI A 95 Q.LI. E COMPLETO DI TUTTI GLI ACCESSORI (BENNE E IMPIANTO IDRAULICO SUPPLEMENTARE) CON OPZIONE UNILATERALE DI AC"</f>
        <v>OGGETTO: FORNITURA DI N. 1 MIDI ESCAVATORE CINGOLATO NUOVO DI FABBRICA CON BRACCIO TRIPLICE, DEL PESO OPERATIVO COMPRESO TRA 85 Q.LI A 95 Q.LI. E COMPLETO DI TUTTI GLI ACCESSORI (BENNE E IMPIANTO IDRAULICO SUPPLEMENTARE) CON OPZIONE UNILATERALE DI AC</v>
      </c>
      <c r="C632" t="str">
        <f>"8460768E9D"</f>
        <v>8460768E9D</v>
      </c>
      <c r="D632" t="str">
        <f>"08/01/2021"</f>
        <v>08/01/2021</v>
      </c>
      <c r="E632" t="str">
        <f>""</f>
        <v/>
      </c>
      <c r="F632" t="str">
        <f>""</f>
        <v/>
      </c>
      <c r="G632" t="str">
        <f>"92500.00"</f>
        <v>92500.00</v>
      </c>
      <c r="H632" t="str">
        <f>"CONSORZIO DI BONIFICA BACCHIGLIONE"</f>
        <v>CONSORZIO DI BONIFICA BACCHIGLIONE</v>
      </c>
      <c r="I632" t="str">
        <f>"92223390284"</f>
        <v>92223390284</v>
      </c>
      <c r="J632" t="str">
        <f>"04-PROCEDURA NEGOZIATA SENZA PREVIA PUBBLICAZIONE"</f>
        <v>04-PROCEDURA NEGOZIATA SENZA PREVIA PUBBLICAZIONE</v>
      </c>
      <c r="K632" t="str">
        <f>"11/01/2021"</f>
        <v>11/01/2021</v>
      </c>
      <c r="L632" t="str">
        <f>"21/12/2021"</f>
        <v>21/12/2021</v>
      </c>
      <c r="M632" t="str">
        <f>""</f>
        <v/>
      </c>
      <c r="N632" t="str">
        <f>"Foredil SRL | SORME s.n.c. | SCAI S.P.A. | F.A.L.C. S.R.L. | Adriatica Commerciale Macchine s.r.l. | MAZZUOLI S.R.L. | SORME S.N.C. DI PRESSATO FEDERICO E PRESSATO LUIGI"</f>
        <v>Foredil SRL | SORME s.n.c. | SCAI S.P.A. | F.A.L.C. S.R.L. | Adriatica Commerciale Macchine s.r.l. | MAZZUOLI S.R.L. | SORME S.N.C. DI PRESSATO FEDERICO E PRESSATO LUIGI</v>
      </c>
      <c r="O632" t="str">
        <f>"SORME S.N.C. DI PRESSATO FEDERICO E PRESSATO LUIGI"</f>
        <v>SORME S.N.C. DI PRESSATO FEDERICO E PRESSATO LUIGI</v>
      </c>
      <c r="P632" t="s">
        <v>127</v>
      </c>
      <c r="Q632" t="str">
        <f>""</f>
        <v/>
      </c>
      <c r="R632" t="str">
        <f>""</f>
        <v/>
      </c>
      <c r="S632" t="str">
        <f>""</f>
        <v/>
      </c>
      <c r="T632" t="s">
        <v>123</v>
      </c>
      <c r="U632" t="str">
        <f>"https://portaletrasparenza.consorziobacchiglione.it/download/attodigara/3123/63ac454630d62.PDF"</f>
        <v>https://portaletrasparenza.consorziobacchiglione.it/download/attodigara/3123/63ac454630d62.PDF</v>
      </c>
      <c r="V6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33" spans="1:22" x14ac:dyDescent="0.3">
      <c r="A633" t="str">
        <f>"Affidamento"</f>
        <v>Affidamento</v>
      </c>
      <c r="B633" t="str">
        <f>"Fornitura tettuccio parapioggia per mezzo con targa: AGZ838"</f>
        <v>Fornitura tettuccio parapioggia per mezzo con targa: AGZ838</v>
      </c>
      <c r="C633" t="str">
        <f>"ZB1187DB58"</f>
        <v>ZB1187DB58</v>
      </c>
      <c r="D633" t="str">
        <f>"04/11/2021"</f>
        <v>04/11/2021</v>
      </c>
      <c r="E633" t="str">
        <f>""</f>
        <v/>
      </c>
      <c r="F633" t="str">
        <f>""</f>
        <v/>
      </c>
      <c r="G633" t="str">
        <f>"431.61"</f>
        <v>431.61</v>
      </c>
      <c r="H633" t="str">
        <f>"Consorzio di bonifica Bacchiglione"</f>
        <v>Consorzio di bonifica Bacchiglione</v>
      </c>
      <c r="I633" t="str">
        <f>"92223390284"</f>
        <v>92223390284</v>
      </c>
      <c r="J633" t="str">
        <f>"23-AFFIDAMENTO DIRETTO"</f>
        <v>23-AFFIDAMENTO DIRETTO</v>
      </c>
      <c r="K633" t="str">
        <f>"11/02/2021"</f>
        <v>11/02/2021</v>
      </c>
      <c r="L633" t="str">
        <f>"20/07/2021"</f>
        <v>20/07/2021</v>
      </c>
      <c r="M633" t="str">
        <f>""</f>
        <v/>
      </c>
      <c r="N633" t="str">
        <f>"Adriatica Commerciale Macchine s.r.l. Via dell'Artigianato 5 35020 Due Carrare PD"</f>
        <v>Adriatica Commerciale Macchine s.r.l. Via dell'Artigianato 5 35020 Due Carrare PD</v>
      </c>
      <c r="O633" t="str">
        <f>"Adriatica Commerciale Macchine s.r.l. Via dell'Artigianato 5 35020 Due Carrare PD"</f>
        <v>Adriatica Commerciale Macchine s.r.l. Via dell'Artigianato 5 35020 Due Carrare PD</v>
      </c>
      <c r="P633" t="str">
        <f>"ZB1187DB58: [431.61€ ]"</f>
        <v>ZB1187DB58: [431.61€ ]</v>
      </c>
      <c r="Q633" t="str">
        <f>""</f>
        <v/>
      </c>
      <c r="R633" t="str">
        <f>""</f>
        <v/>
      </c>
      <c r="S633" t="str">
        <f>""</f>
        <v/>
      </c>
      <c r="T633" t="str">
        <f>"https://portaletrasparenza.consorziobacchiglione.it/dettagli/attodigara/148/fornitura-tettuccio-parapioggia-per-mezzo-con-targa-agz838.html"</f>
        <v>https://portaletrasparenza.consorziobacchiglione.it/dettagli/attodigara/148/fornitura-tettuccio-parapioggia-per-mezzo-con-targa-agz838.html</v>
      </c>
      <c r="U633" t="str">
        <f>""</f>
        <v/>
      </c>
      <c r="V6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34" spans="1:22" x14ac:dyDescent="0.3">
      <c r="A634" t="str">
        <f>"Affidamento"</f>
        <v>Affidamento</v>
      </c>
      <c r="B634" t="str">
        <f>"Fornitura n 1 fusto olio idraulico e n 1 fusto olio minerale per mezzi Consorziali."</f>
        <v>Fornitura n 1 fusto olio idraulico e n 1 fusto olio minerale per mezzi Consorziali.</v>
      </c>
      <c r="C634" t="str">
        <f>"ZA4187952B"</f>
        <v>ZA4187952B</v>
      </c>
      <c r="D634" t="str">
        <f>"04/11/2021"</f>
        <v>04/11/2021</v>
      </c>
      <c r="E634" t="str">
        <f>""</f>
        <v/>
      </c>
      <c r="F634" t="str">
        <f>""</f>
        <v/>
      </c>
      <c r="G634" t="str">
        <f>"999.25"</f>
        <v>999.25</v>
      </c>
      <c r="H634" t="str">
        <f>"Consorzio di bonifica Bacchiglione"</f>
        <v>Consorzio di bonifica Bacchiglione</v>
      </c>
      <c r="I634" t="str">
        <f>"92223390284"</f>
        <v>92223390284</v>
      </c>
      <c r="J634" t="str">
        <f>"23-AFFIDAMENTO DIRETTO"</f>
        <v>23-AFFIDAMENTO DIRETTO</v>
      </c>
      <c r="K634" t="str">
        <f>"11/02/2021"</f>
        <v>11/02/2021</v>
      </c>
      <c r="L634" t="str">
        <f>"29/03/2021"</f>
        <v>29/03/2021</v>
      </c>
      <c r="M634" t="str">
        <f>""</f>
        <v/>
      </c>
      <c r="N634" t="str">
        <f>"Dimel s.a.s. di Donado Luca e C. Via Unità d'Italia 12 35020 Brugine PD"</f>
        <v>Dimel s.a.s. di Donado Luca e C. Via Unità d'Italia 12 35020 Brugine PD</v>
      </c>
      <c r="O634" t="str">
        <f>"Dimel s.a.s. di Donado Luca e C. Via Unità d'Italia 12 35020 Brugine PD"</f>
        <v>Dimel s.a.s. di Donado Luca e C. Via Unità d'Italia 12 35020 Brugine PD</v>
      </c>
      <c r="P634" t="str">
        <f>"ZA4187952B: [999.25€ ]"</f>
        <v>ZA4187952B: [999.25€ ]</v>
      </c>
      <c r="Q634" t="str">
        <f>""</f>
        <v/>
      </c>
      <c r="R634" t="str">
        <f>""</f>
        <v/>
      </c>
      <c r="S634" t="str">
        <f>""</f>
        <v/>
      </c>
      <c r="T634" t="str">
        <f>"https://portaletrasparenza.consorziobacchiglione.it/dettagli/attodigara/147/fornitura-n-1-fusto-olio-idraulico-e-n-1-fusto-olio-minerale-per-mezzi-consorziali.html"</f>
        <v>https://portaletrasparenza.consorziobacchiglione.it/dettagli/attodigara/147/fornitura-n-1-fusto-olio-idraulico-e-n-1-fusto-olio-minerale-per-mezzi-consorziali.html</v>
      </c>
      <c r="U634" t="str">
        <f>""</f>
        <v/>
      </c>
      <c r="V6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35" spans="1:22" x14ac:dyDescent="0.3">
      <c r="A635" t="str">
        <f>"Affidamento"</f>
        <v>Affidamento</v>
      </c>
      <c r="B635" t="str">
        <f>"Fornitura n.1 scanner Fujitsu FI-7260 per protocollo Catasto"</f>
        <v>Fornitura n.1 scanner Fujitsu FI-7260 per protocollo Catasto</v>
      </c>
      <c r="C635" t="str">
        <f>"Z69309967A"</f>
        <v>Z69309967A</v>
      </c>
      <c r="D635" t="str">
        <f>"11/02/2021"</f>
        <v>11/02/2021</v>
      </c>
      <c r="E635" t="str">
        <f>""</f>
        <v/>
      </c>
      <c r="F635" t="str">
        <f>""</f>
        <v/>
      </c>
      <c r="G635" t="str">
        <f>"1190.00"</f>
        <v>1190.00</v>
      </c>
      <c r="H635" t="str">
        <f>"Consorzio di bonifica Bacchiglione"</f>
        <v>Consorzio di bonifica Bacchiglione</v>
      </c>
      <c r="I635" t="str">
        <f>"92223390284"</f>
        <v>92223390284</v>
      </c>
      <c r="J635" t="str">
        <f>"23-AFFIDAMENTO DIRETTO"</f>
        <v>23-AFFIDAMENTO DIRETTO</v>
      </c>
      <c r="K635" t="str">
        <f>"11/02/2021"</f>
        <v>11/02/2021</v>
      </c>
      <c r="L635" t="str">
        <f>"25/02/2021"</f>
        <v>25/02/2021</v>
      </c>
      <c r="M635" t="str">
        <f>""</f>
        <v/>
      </c>
      <c r="N635" t="str">
        <f>"TPH Elettronica s.a.s. Via N. Pizzolo 51A 35132 Padova"</f>
        <v>TPH Elettronica s.a.s. Via N. Pizzolo 51A 35132 Padova</v>
      </c>
      <c r="O635" t="str">
        <f>"TPH Elettronica s.a.s. Via N. Pizzolo 51A 35132 Padova"</f>
        <v>TPH Elettronica s.a.s. Via N. Pizzolo 51A 35132 Padova</v>
      </c>
      <c r="P635" t="str">
        <f>"Z69309967A: [1190.00€ ]"</f>
        <v>Z69309967A: [1190.00€ ]</v>
      </c>
      <c r="Q635" t="str">
        <f>""</f>
        <v/>
      </c>
      <c r="R635" t="str">
        <f>""</f>
        <v/>
      </c>
      <c r="S635" t="str">
        <f>""</f>
        <v/>
      </c>
      <c r="T635" t="str">
        <f>"https://portaletrasparenza.consorziobacchiglione.it/dettagli/attodigara/6626/fornitura-n-1-scanner-fujitsu-fi-7260-per-protocollo-catasto.html"</f>
        <v>https://portaletrasparenza.consorziobacchiglione.it/dettagli/attodigara/6626/fornitura-n-1-scanner-fujitsu-fi-7260-per-protocollo-catasto.html</v>
      </c>
      <c r="U635" t="str">
        <f>"https://portaletrasparenza.consorziobacchiglione.it/download/attodigara/6626/63ac455a6c6d1.PDF"</f>
        <v>https://portaletrasparenza.consorziobacchiglione.it/download/attodigara/6626/63ac455a6c6d1.PDF</v>
      </c>
      <c r="V6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36" spans="1:22" x14ac:dyDescent="0.3">
      <c r="A636" t="str">
        <f>"Affidamento"</f>
        <v>Affidamento</v>
      </c>
      <c r="B636" t="str">
        <f>"Affidamento consulenza e sorveglianza sanitaria, per lavoratori consorziali, per l'anno 2021"</f>
        <v>Affidamento consulenza e sorveglianza sanitaria, per lavoratori consorziali, per l'anno 2021</v>
      </c>
      <c r="C636" t="str">
        <f>"ZAD3097EA5"</f>
        <v>ZAD3097EA5</v>
      </c>
      <c r="D636" t="str">
        <f>"16/02/2021"</f>
        <v>16/02/2021</v>
      </c>
      <c r="E636" t="str">
        <f>""</f>
        <v/>
      </c>
      <c r="F636" t="str">
        <f>""</f>
        <v/>
      </c>
      <c r="G636" t="str">
        <f>"8002.00"</f>
        <v>8002.00</v>
      </c>
      <c r="H636" t="str">
        <f>"Consorzio di bonifica Bacchiglione"</f>
        <v>Consorzio di bonifica Bacchiglione</v>
      </c>
      <c r="I636" t="str">
        <f>"92223390284"</f>
        <v>92223390284</v>
      </c>
      <c r="J636" t="str">
        <f>"23-AFFIDAMENTO DIRETTO"</f>
        <v>23-AFFIDAMENTO DIRETTO</v>
      </c>
      <c r="K636" t="str">
        <f>"11/02/2021"</f>
        <v>11/02/2021</v>
      </c>
      <c r="L636" t="str">
        <f>"02/05/2022"</f>
        <v>02/05/2022</v>
      </c>
      <c r="M636" t="str">
        <f>""</f>
        <v/>
      </c>
      <c r="N636" t="str">
        <f>"Dott.Giovanni Ruzza Via A.Diaz 154 - 30010 Perarolo di Vigonza"</f>
        <v>Dott.Giovanni Ruzza Via A.Diaz 154 - 30010 Perarolo di Vigonza</v>
      </c>
      <c r="O636" t="str">
        <f>"Dott.Giovanni Ruzza Via A.Diaz 154 - 30010 Perarolo di Vigonza"</f>
        <v>Dott.Giovanni Ruzza Via A.Diaz 154 - 30010 Perarolo di Vigonza</v>
      </c>
      <c r="P636" t="str">
        <f>"ZAD3097EA5: [8002.00€ ]"</f>
        <v>ZAD3097EA5: [8002.00€ ]</v>
      </c>
      <c r="Q636" t="str">
        <f>""</f>
        <v/>
      </c>
      <c r="R636" t="str">
        <f>""</f>
        <v/>
      </c>
      <c r="S636" t="str">
        <f>""</f>
        <v/>
      </c>
      <c r="T636" t="str">
        <f>"https://portaletrasparenza.consorziobacchiglione.it/dettagli/attodigara/6625/affidamento-consulenza-e-sorveglianza-sanitaria-per-lavoratori-consorziali-per-l-anno-2021.html"</f>
        <v>https://portaletrasparenza.consorziobacchiglione.it/dettagli/attodigara/6625/affidamento-consulenza-e-sorveglianza-sanitaria-per-lavoratori-consorziali-per-l-anno-2021.html</v>
      </c>
      <c r="U636" t="str">
        <f>"https://portaletrasparenza.consorziobacchiglione.it/download/attodigara/6625/63ac455ade91d.PDF"</f>
        <v>https://portaletrasparenza.consorziobacchiglione.it/download/attodigara/6625/63ac455ade91d.PDF</v>
      </c>
      <c r="V6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37" spans="1:22" x14ac:dyDescent="0.3">
      <c r="A637" t="str">
        <f>"Affidamento"</f>
        <v>Affidamento</v>
      </c>
      <c r="B637" t="str">
        <f>"Fornitura scala a castello modello AT, e scala a palchetto in acciaio inox per C.O.S.Margherita."</f>
        <v>Fornitura scala a castello modello AT, e scala a palchetto in acciaio inox per C.O.S.Margherita.</v>
      </c>
      <c r="C637" t="str">
        <f>"Z9118F1D88"</f>
        <v>Z9118F1D88</v>
      </c>
      <c r="D637" t="str">
        <f>"04/11/2021"</f>
        <v>04/11/2021</v>
      </c>
      <c r="E637" t="str">
        <f>""</f>
        <v/>
      </c>
      <c r="F637" t="str">
        <f>""</f>
        <v/>
      </c>
      <c r="G637" t="str">
        <f>"2240.00"</f>
        <v>2240.00</v>
      </c>
      <c r="H637" t="str">
        <f>"Consorzio di bonifica Bacchiglione"</f>
        <v>Consorzio di bonifica Bacchiglione</v>
      </c>
      <c r="I637" t="str">
        <f>"92223390284"</f>
        <v>92223390284</v>
      </c>
      <c r="J637" t="str">
        <f>"23-AFFIDAMENTO DIRETTO"</f>
        <v>23-AFFIDAMENTO DIRETTO</v>
      </c>
      <c r="K637" t="str">
        <f>"11/03/2021"</f>
        <v>11/03/2021</v>
      </c>
      <c r="L637" t="str">
        <f>"18/05/2021"</f>
        <v>18/05/2021</v>
      </c>
      <c r="M637" t="str">
        <f>""</f>
        <v/>
      </c>
      <c r="N637" t="str">
        <f>"Scalificio Lasi s.n.c. Via Botte 6 35011 Reschigliano di Campodarsego PD"</f>
        <v>Scalificio Lasi s.n.c. Via Botte 6 35011 Reschigliano di Campodarsego PD</v>
      </c>
      <c r="O637" t="str">
        <f>"Scalificio Lasi s.n.c. Via Botte 6 35011 Reschigliano di Campodarsego PD"</f>
        <v>Scalificio Lasi s.n.c. Via Botte 6 35011 Reschigliano di Campodarsego PD</v>
      </c>
      <c r="P637" t="str">
        <f>"Z9118F1D88: [2240.00€ ]"</f>
        <v>Z9118F1D88: [2240.00€ ]</v>
      </c>
      <c r="Q637" t="str">
        <f>""</f>
        <v/>
      </c>
      <c r="R637" t="str">
        <f>""</f>
        <v/>
      </c>
      <c r="S637" t="str">
        <f>""</f>
        <v/>
      </c>
      <c r="T637" t="str">
        <f>"https://portaletrasparenza.consorziobacchiglione.it/dettagli/attodigara/226/fornitura-scala-a-castello-modello-at-e-scala-a-palchetto-in-acciaio-inox-per-c-o-s-margherita.html"</f>
        <v>https://portaletrasparenza.consorziobacchiglione.it/dettagli/attodigara/226/fornitura-scala-a-castello-modello-at-e-scala-a-palchetto-in-acciaio-inox-per-c-o-s-margherita.html</v>
      </c>
      <c r="U637" t="str">
        <f>""</f>
        <v/>
      </c>
      <c r="V63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38" spans="1:22" x14ac:dyDescent="0.3">
      <c r="A638" t="str">
        <f>"Affidamento"</f>
        <v>Affidamento</v>
      </c>
      <c r="B638" t="str">
        <f>"Lavori di manutenzione e riparazione mezzo con targa DS718AA."</f>
        <v>Lavori di manutenzione e riparazione mezzo con targa DS718AA.</v>
      </c>
      <c r="C638" t="str">
        <f>"Z8A18F1BA5"</f>
        <v>Z8A18F1BA5</v>
      </c>
      <c r="D638" t="str">
        <f>"04/11/2021"</f>
        <v>04/11/2021</v>
      </c>
      <c r="E638" t="str">
        <f>""</f>
        <v/>
      </c>
      <c r="F638" t="str">
        <f>""</f>
        <v/>
      </c>
      <c r="G638" t="str">
        <f>"958.20"</f>
        <v>958.20</v>
      </c>
      <c r="H638" t="str">
        <f>"Consorzio di bonifica Bacchiglione"</f>
        <v>Consorzio di bonifica Bacchiglione</v>
      </c>
      <c r="I638" t="str">
        <f>"92223390284"</f>
        <v>92223390284</v>
      </c>
      <c r="J638" t="str">
        <f>"23-AFFIDAMENTO DIRETTO"</f>
        <v>23-AFFIDAMENTO DIRETTO</v>
      </c>
      <c r="K638" t="str">
        <f>"11/03/2021"</f>
        <v>11/03/2021</v>
      </c>
      <c r="L638" t="str">
        <f>"03/08/2021"</f>
        <v>03/08/2021</v>
      </c>
      <c r="M638" t="str">
        <f>""</f>
        <v/>
      </c>
      <c r="N638" t="str">
        <f>"Vise Elettrocar Via Montagnon 61 35028 Tognana di Piove di Sacco PD"</f>
        <v>Vise Elettrocar Via Montagnon 61 35028 Tognana di Piove di Sacco PD</v>
      </c>
      <c r="O638" t="str">
        <f>"Vise Elettrocar Via Montagnon 61 35028 Tognana di Piove di Sacco PD"</f>
        <v>Vise Elettrocar Via Montagnon 61 35028 Tognana di Piove di Sacco PD</v>
      </c>
      <c r="P638" t="str">
        <f>"Z8A18F1BA5: [958.20€ ]"</f>
        <v>Z8A18F1BA5: [958.20€ ]</v>
      </c>
      <c r="Q638" t="str">
        <f>""</f>
        <v/>
      </c>
      <c r="R638" t="str">
        <f>""</f>
        <v/>
      </c>
      <c r="S638" t="str">
        <f>""</f>
        <v/>
      </c>
      <c r="T638" t="str">
        <f>"https://portaletrasparenza.consorziobacchiglione.it/dettagli/attodigara/225/lavori-di-manutenzione-e-riparazione-mezzo-con-targa-ds718aa.html"</f>
        <v>https://portaletrasparenza.consorziobacchiglione.it/dettagli/attodigara/225/lavori-di-manutenzione-e-riparazione-mezzo-con-targa-ds718aa.html</v>
      </c>
      <c r="U638" t="str">
        <f>""</f>
        <v/>
      </c>
      <c r="V63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39" spans="1:22" x14ac:dyDescent="0.3">
      <c r="A639" t="str">
        <f>"Affidamento"</f>
        <v>Affidamento</v>
      </c>
      <c r="B639" t="str">
        <f>"Controllo pastiglie freni mezzo con targa: DA204YW."</f>
        <v>Controllo pastiglie freni mezzo con targa: DA204YW.</v>
      </c>
      <c r="C639" t="str">
        <f>"ZB618F1AC2"</f>
        <v>ZB618F1AC2</v>
      </c>
      <c r="D639" t="str">
        <f>"04/11/2021"</f>
        <v>04/11/2021</v>
      </c>
      <c r="E639" t="str">
        <f>""</f>
        <v/>
      </c>
      <c r="F639" t="str">
        <f>""</f>
        <v/>
      </c>
      <c r="G639" t="str">
        <f>"20.00"</f>
        <v>20.00</v>
      </c>
      <c r="H639" t="str">
        <f>"Consorzio di bonifica Bacchiglione"</f>
        <v>Consorzio di bonifica Bacchiglione</v>
      </c>
      <c r="I639" t="str">
        <f>"92223390284"</f>
        <v>92223390284</v>
      </c>
      <c r="J639" t="str">
        <f>"23-AFFIDAMENTO DIRETTO"</f>
        <v>23-AFFIDAMENTO DIRETTO</v>
      </c>
      <c r="K639" t="str">
        <f>"11/03/2021"</f>
        <v>11/03/2021</v>
      </c>
      <c r="L639" t="str">
        <f>"04/04/2021"</f>
        <v>04/04/2021</v>
      </c>
      <c r="M639" t="str">
        <f>""</f>
        <v/>
      </c>
      <c r="N639" t="str">
        <f>"Mardegan F.lli s.n.c. Via Argine Destro 13A 35020 Brenta di Correzzola PD"</f>
        <v>Mardegan F.lli s.n.c. Via Argine Destro 13A 35020 Brenta di Correzzola PD</v>
      </c>
      <c r="O639" t="str">
        <f>"Mardegan F.lli s.n.c. Via Argine Destro 13A 35020 Brenta di Correzzola PD"</f>
        <v>Mardegan F.lli s.n.c. Via Argine Destro 13A 35020 Brenta di Correzzola PD</v>
      </c>
      <c r="P639" t="str">
        <f>"ZB618F1AC2: [20.00€ ]"</f>
        <v>ZB618F1AC2: [20.00€ ]</v>
      </c>
      <c r="Q639" t="str">
        <f>""</f>
        <v/>
      </c>
      <c r="R639" t="str">
        <f>""</f>
        <v/>
      </c>
      <c r="S639" t="str">
        <f>""</f>
        <v/>
      </c>
      <c r="T639" t="str">
        <f>"https://portaletrasparenza.consorziobacchiglione.it/dettagli/attodigara/224/controllo-pastiglie-freni-mezzo-con-targa-da204yw.html"</f>
        <v>https://portaletrasparenza.consorziobacchiglione.it/dettagli/attodigara/224/controllo-pastiglie-freni-mezzo-con-targa-da204yw.html</v>
      </c>
      <c r="U639" t="str">
        <f>""</f>
        <v/>
      </c>
      <c r="V6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40" spans="1:22" x14ac:dyDescent="0.3">
      <c r="A640" t="str">
        <f>"Affidamento"</f>
        <v>Affidamento</v>
      </c>
      <c r="B640" t="str">
        <f>"Fornitura materiale edile per bacino Sesta Presa e Delta Brenta."</f>
        <v>Fornitura materiale edile per bacino Sesta Presa e Delta Brenta.</v>
      </c>
      <c r="C640" t="str">
        <f>"Z3718F13FB"</f>
        <v>Z3718F13FB</v>
      </c>
      <c r="D640" t="str">
        <f>"04/11/2021"</f>
        <v>04/11/2021</v>
      </c>
      <c r="E640" t="str">
        <f>""</f>
        <v/>
      </c>
      <c r="F640" t="str">
        <f>""</f>
        <v/>
      </c>
      <c r="G640" t="str">
        <f>"1221.21"</f>
        <v>1221.21</v>
      </c>
      <c r="H640" t="str">
        <f>"Consorzio di bonifica Bacchiglione"</f>
        <v>Consorzio di bonifica Bacchiglione</v>
      </c>
      <c r="I640" t="str">
        <f>"92223390284"</f>
        <v>92223390284</v>
      </c>
      <c r="J640" t="str">
        <f>"23-AFFIDAMENTO DIRETTO"</f>
        <v>23-AFFIDAMENTO DIRETTO</v>
      </c>
      <c r="K640" t="str">
        <f>"11/03/2021"</f>
        <v>11/03/2021</v>
      </c>
      <c r="L640" t="str">
        <f>"15/04/2021"</f>
        <v>15/04/2021</v>
      </c>
      <c r="M640" t="str">
        <f>""</f>
        <v/>
      </c>
      <c r="N640" t="str">
        <f>"Idronord s.r.l. Via delle Industrie 3C 30036 Santa Maria Di Sala VE"</f>
        <v>Idronord s.r.l. Via delle Industrie 3C 30036 Santa Maria Di Sala VE</v>
      </c>
      <c r="O640" t="str">
        <f>"Idronord s.r.l. Via delle Industrie 3C 30036 Santa Maria Di Sala VE"</f>
        <v>Idronord s.r.l. Via delle Industrie 3C 30036 Santa Maria Di Sala VE</v>
      </c>
      <c r="P640" t="str">
        <f>"Z3718F13FB: [1221.21€ ]"</f>
        <v>Z3718F13FB: [1221.21€ ]</v>
      </c>
      <c r="Q640" t="str">
        <f>""</f>
        <v/>
      </c>
      <c r="R640" t="str">
        <f>""</f>
        <v/>
      </c>
      <c r="S640" t="str">
        <f>""</f>
        <v/>
      </c>
      <c r="T640" t="str">
        <f>"https://portaletrasparenza.consorziobacchiglione.it/dettagli/attodigara/223/fornitura-materiale-edile-per-bacino-sesta-presa-e-delta-brenta.html"</f>
        <v>https://portaletrasparenza.consorziobacchiglione.it/dettagli/attodigara/223/fornitura-materiale-edile-per-bacino-sesta-presa-e-delta-brenta.html</v>
      </c>
      <c r="U640" t="str">
        <f>""</f>
        <v/>
      </c>
      <c r="V6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41" spans="1:22" x14ac:dyDescent="0.3">
      <c r="A641" t="str">
        <f>"Affidamento"</f>
        <v>Affidamento</v>
      </c>
      <c r="B641" t="str">
        <f>"Fornitura grasso per mezzi Consorziali."</f>
        <v>Fornitura grasso per mezzi Consorziali.</v>
      </c>
      <c r="C641" t="str">
        <f>"ZEF18F1297"</f>
        <v>ZEF18F1297</v>
      </c>
      <c r="D641" t="str">
        <f>"04/11/2021"</f>
        <v>04/11/2021</v>
      </c>
      <c r="E641" t="str">
        <f>""</f>
        <v/>
      </c>
      <c r="F641" t="str">
        <f>""</f>
        <v/>
      </c>
      <c r="G641" t="str">
        <f>"626.40"</f>
        <v>626.40</v>
      </c>
      <c r="H641" t="str">
        <f>"Consorzio di bonifica Bacchiglione"</f>
        <v>Consorzio di bonifica Bacchiglione</v>
      </c>
      <c r="I641" t="str">
        <f>"92223390284"</f>
        <v>92223390284</v>
      </c>
      <c r="J641" t="str">
        <f>"23-AFFIDAMENTO DIRETTO"</f>
        <v>23-AFFIDAMENTO DIRETTO</v>
      </c>
      <c r="K641" t="str">
        <f>"11/03/2021"</f>
        <v>11/03/2021</v>
      </c>
      <c r="L641" t="str">
        <f>"11/11/2021"</f>
        <v>11/11/2021</v>
      </c>
      <c r="M641" t="str">
        <f>""</f>
        <v/>
      </c>
      <c r="N641" t="str">
        <f>"Centro Lubrificanti Via Oderzo 48 31040 Mansuè TV"</f>
        <v>Centro Lubrificanti Via Oderzo 48 31040 Mansuè TV</v>
      </c>
      <c r="O641" t="str">
        <f>"Centro Lubrificanti Via Oderzo 48 31040 Mansuè TV"</f>
        <v>Centro Lubrificanti Via Oderzo 48 31040 Mansuè TV</v>
      </c>
      <c r="P641" t="str">
        <f>"ZEF18F1297: [626.40€ ]"</f>
        <v>ZEF18F1297: [626.40€ ]</v>
      </c>
      <c r="Q641" t="str">
        <f>""</f>
        <v/>
      </c>
      <c r="R641" t="str">
        <f>""</f>
        <v/>
      </c>
      <c r="S641" t="str">
        <f>""</f>
        <v/>
      </c>
      <c r="T641" t="str">
        <f>"https://portaletrasparenza.consorziobacchiglione.it/dettagli/attodigara/222/fornitura-grasso-per-mezzi-consorziali.html"</f>
        <v>https://portaletrasparenza.consorziobacchiglione.it/dettagli/attodigara/222/fornitura-grasso-per-mezzi-consorziali.html</v>
      </c>
      <c r="U641" t="str">
        <f>""</f>
        <v/>
      </c>
      <c r="V64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42" spans="1:22" x14ac:dyDescent="0.3">
      <c r="A642" t="str">
        <f>"Affidamento"</f>
        <v>Affidamento</v>
      </c>
      <c r="B642" t="str">
        <f>"Lavori extra contrattuali per fabbricato sede Consorziale. Opere di demolizione."</f>
        <v>Lavori extra contrattuali per fabbricato sede Consorziale. Opere di demolizione.</v>
      </c>
      <c r="C642" t="str">
        <f>"Z1218F0FE4"</f>
        <v>Z1218F0FE4</v>
      </c>
      <c r="D642" t="str">
        <f>"04/11/2021"</f>
        <v>04/11/2021</v>
      </c>
      <c r="E642" t="str">
        <f>""</f>
        <v/>
      </c>
      <c r="F642" t="str">
        <f>""</f>
        <v/>
      </c>
      <c r="G642" t="str">
        <f>"5900.00"</f>
        <v>5900.00</v>
      </c>
      <c r="H642" t="str">
        <f>"Consorzio di bonifica Bacchiglione"</f>
        <v>Consorzio di bonifica Bacchiglione</v>
      </c>
      <c r="I642" t="str">
        <f>"92223390284"</f>
        <v>92223390284</v>
      </c>
      <c r="J642" t="str">
        <f>"23-AFFIDAMENTO DIRETTO"</f>
        <v>23-AFFIDAMENTO DIRETTO</v>
      </c>
      <c r="K642" t="str">
        <f>"11/03/2021"</f>
        <v>11/03/2021</v>
      </c>
      <c r="L642" t="str">
        <f>"14/04/2021"</f>
        <v>14/04/2021</v>
      </c>
      <c r="M642" t="str">
        <f>""</f>
        <v/>
      </c>
      <c r="N642" t="str">
        <f>"Balla Costruzioni di Balla Skender Via Kennedy 7(1-3) 35020 Polverara PD"</f>
        <v>Balla Costruzioni di Balla Skender Via Kennedy 7(1-3) 35020 Polverara PD</v>
      </c>
      <c r="O642" t="str">
        <f>"Balla Costruzioni di Balla Skender Via Kennedy 7(1-3) 35020 Polverara PD"</f>
        <v>Balla Costruzioni di Balla Skender Via Kennedy 7(1-3) 35020 Polverara PD</v>
      </c>
      <c r="P642" t="str">
        <f>"Z1218F0FE4: [5900.00€ ]"</f>
        <v>Z1218F0FE4: [5900.00€ ]</v>
      </c>
      <c r="Q642" t="str">
        <f>""</f>
        <v/>
      </c>
      <c r="R642" t="str">
        <f>""</f>
        <v/>
      </c>
      <c r="S642" t="str">
        <f>""</f>
        <v/>
      </c>
      <c r="T642" t="str">
        <f>"https://portaletrasparenza.consorziobacchiglione.it/dettagli/attodigara/221/lavori-extra-contrattuali-per-fabbricato-sede-consorziale-opere-di-demolizione.html"</f>
        <v>https://portaletrasparenza.consorziobacchiglione.it/dettagli/attodigara/221/lavori-extra-contrattuali-per-fabbricato-sede-consorziale-opere-di-demolizione.html</v>
      </c>
      <c r="U642" t="str">
        <f>""</f>
        <v/>
      </c>
      <c r="V6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43" spans="1:22" x14ac:dyDescent="0.3">
      <c r="A643" t="str">
        <f>"Affidamento"</f>
        <v>Affidamento</v>
      </c>
      <c r="B643" t="str">
        <f>"Lavori extra per imprevisti su porzione fabbricato Sede Consorziale. Opere di fondazione."</f>
        <v>Lavori extra per imprevisti su porzione fabbricato Sede Consorziale. Opere di fondazione.</v>
      </c>
      <c r="C643" t="str">
        <f>"Z8E18F0EFF"</f>
        <v>Z8E18F0EFF</v>
      </c>
      <c r="D643" t="str">
        <f>"04/11/2021"</f>
        <v>04/11/2021</v>
      </c>
      <c r="E643" t="str">
        <f>""</f>
        <v/>
      </c>
      <c r="F643" t="str">
        <f>""</f>
        <v/>
      </c>
      <c r="G643" t="str">
        <f>"3300.00"</f>
        <v>3300.00</v>
      </c>
      <c r="H643" t="str">
        <f>"Consorzio di bonifica Bacchiglione"</f>
        <v>Consorzio di bonifica Bacchiglione</v>
      </c>
      <c r="I643" t="str">
        <f>"92223390284"</f>
        <v>92223390284</v>
      </c>
      <c r="J643" t="str">
        <f>"23-AFFIDAMENTO DIRETTO"</f>
        <v>23-AFFIDAMENTO DIRETTO</v>
      </c>
      <c r="K643" t="str">
        <f>"11/03/2021"</f>
        <v>11/03/2021</v>
      </c>
      <c r="L643" t="str">
        <f>"14/04/2021"</f>
        <v>14/04/2021</v>
      </c>
      <c r="M643" t="str">
        <f>""</f>
        <v/>
      </c>
      <c r="N643" t="str">
        <f>"F.lli Pastore S.R.L. Via Pozzoveggiani 34-3 Salboro PD"</f>
        <v>F.lli Pastore S.R.L. Via Pozzoveggiani 34-3 Salboro PD</v>
      </c>
      <c r="O643" t="str">
        <f>"F.lli Pastore S.R.L. Via Pozzoveggiani 34-3 Salboro PD"</f>
        <v>F.lli Pastore S.R.L. Via Pozzoveggiani 34-3 Salboro PD</v>
      </c>
      <c r="P643" t="str">
        <f>"Z8E18F0EFF: [0.00€ ]"</f>
        <v>Z8E18F0EFF: [0.00€ ]</v>
      </c>
      <c r="Q643" t="str">
        <f>""</f>
        <v/>
      </c>
      <c r="R643" t="str">
        <f>""</f>
        <v/>
      </c>
      <c r="S643" t="str">
        <f>""</f>
        <v/>
      </c>
      <c r="T643" t="str">
        <f>"https://portaletrasparenza.consorziobacchiglione.it/dettagli/attodigara/220/lavori-extra-per-imprevisti-su-porzione-fabbricato-sede-consorziale-opere-di-fondazione.html"</f>
        <v>https://portaletrasparenza.consorziobacchiglione.it/dettagli/attodigara/220/lavori-extra-per-imprevisti-su-porzione-fabbricato-sede-consorziale-opere-di-fondazione.html</v>
      </c>
      <c r="U643" t="str">
        <f>""</f>
        <v/>
      </c>
      <c r="V643">
        <f>(SUBSTITUTE(Tabella1[[#This Row],[Importo di aggiudicazione]],".",","))-(SUBSTITUTE(  SUBSTITUTE(          SUBSTITUTE(Tabella1[[#This Row],[Dettaglio somme liquidate]],Tabella1[[#This Row],[CIG]]&amp;": [",""),"€ ]",""),".",","))</f>
        <v>3300</v>
      </c>
    </row>
    <row r="644" spans="1:22" x14ac:dyDescent="0.3">
      <c r="A644" t="str">
        <f>"Affidamento"</f>
        <v>Affidamento</v>
      </c>
      <c r="B644" t="str">
        <f>"Implementazione modulo ticketing integrato dentro Munera"</f>
        <v>Implementazione modulo ticketing integrato dentro Munera</v>
      </c>
      <c r="C644" t="str">
        <f>"ZB930F5431"</f>
        <v>ZB930F5431</v>
      </c>
      <c r="D644" t="str">
        <f>"11/03/2021"</f>
        <v>11/03/2021</v>
      </c>
      <c r="E644" t="str">
        <f>""</f>
        <v/>
      </c>
      <c r="F644" t="str">
        <f>""</f>
        <v/>
      </c>
      <c r="G644" t="str">
        <f>"3900.00"</f>
        <v>3900.00</v>
      </c>
      <c r="H644" t="str">
        <f>"Consorzio di bonifica Bacchiglione"</f>
        <v>Consorzio di bonifica Bacchiglione</v>
      </c>
      <c r="I644" t="str">
        <f>"92223390284"</f>
        <v>92223390284</v>
      </c>
      <c r="J644" t="str">
        <f>"23-AFFIDAMENTO DIRETTO"</f>
        <v>23-AFFIDAMENTO DIRETTO</v>
      </c>
      <c r="K644" t="str">
        <f>"11/03/2021"</f>
        <v>11/03/2021</v>
      </c>
      <c r="L644" t="str">
        <f>"29/07/2021"</f>
        <v>29/07/2021</v>
      </c>
      <c r="M644" t="str">
        <f>""</f>
        <v/>
      </c>
      <c r="N644" t="str">
        <f>"STUDIO VERTIX"</f>
        <v>STUDIO VERTIX</v>
      </c>
      <c r="O644" t="str">
        <f>"STUDIO VERTIX"</f>
        <v>STUDIO VERTIX</v>
      </c>
      <c r="P644" t="str">
        <f>"ZB930F5431: [3900.00€ ]"</f>
        <v>ZB930F5431: [3900.00€ ]</v>
      </c>
      <c r="Q644" t="str">
        <f>""</f>
        <v/>
      </c>
      <c r="R644" t="str">
        <f>""</f>
        <v/>
      </c>
      <c r="S644" t="str">
        <f>""</f>
        <v/>
      </c>
      <c r="T644" t="str">
        <f>"https://portaletrasparenza.consorziobacchiglione.it/dettagli/attodigara/6689/implementazione-modulo-ticketing-integrato-dentro-munera.html"</f>
        <v>https://portaletrasparenza.consorziobacchiglione.it/dettagli/attodigara/6689/implementazione-modulo-ticketing-integrato-dentro-munera.html</v>
      </c>
      <c r="U644" t="str">
        <f>"https://portaletrasparenza.consorziobacchiglione.it/download/attodigara/6689/63ac4568dab58.PDF"</f>
        <v>https://portaletrasparenza.consorziobacchiglione.it/download/attodigara/6689/63ac4568dab58.PDF</v>
      </c>
      <c r="V64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45" spans="1:22" x14ac:dyDescent="0.3">
      <c r="A645" t="str">
        <f>"Affidamento"</f>
        <v>Affidamento</v>
      </c>
      <c r="B645" t="str">
        <f>"Fornitura arredo per sede Consorziale (uff. Progettazione, Ambiente e Vigilanza)"</f>
        <v>Fornitura arredo per sede Consorziale (uff. Progettazione, Ambiente e Vigilanza)</v>
      </c>
      <c r="C645" t="str">
        <f>"ZB030FA325"</f>
        <v>ZB030FA325</v>
      </c>
      <c r="D645" t="str">
        <f>"12/03/2021"</f>
        <v>12/03/2021</v>
      </c>
      <c r="E645" t="str">
        <f>""</f>
        <v/>
      </c>
      <c r="F645" t="str">
        <f>""</f>
        <v/>
      </c>
      <c r="G645" t="str">
        <f>"4950.00"</f>
        <v>4950.00</v>
      </c>
      <c r="H645" t="str">
        <f>"Consorzio di bonifica Bacchiglione"</f>
        <v>Consorzio di bonifica Bacchiglione</v>
      </c>
      <c r="I645" t="str">
        <f>"92223390284"</f>
        <v>92223390284</v>
      </c>
      <c r="J645" t="str">
        <f>"23-AFFIDAMENTO DIRETTO"</f>
        <v>23-AFFIDAMENTO DIRETTO</v>
      </c>
      <c r="K645" t="str">
        <f>"11/03/2021"</f>
        <v>11/03/2021</v>
      </c>
      <c r="L645" t="str">
        <f>"28/07/2021"</f>
        <v>28/07/2021</v>
      </c>
      <c r="M645" t="str">
        <f>""</f>
        <v/>
      </c>
      <c r="N645" t="str">
        <f>"Breviglieri S.r.l. C.so del Popolo, 100 - 45100 Rovigo"</f>
        <v>Breviglieri S.r.l. C.so del Popolo, 100 - 45100 Rovigo</v>
      </c>
      <c r="O645" t="str">
        <f>"Breviglieri S.r.l. C.so del Popolo, 100 - 45100 Rovigo"</f>
        <v>Breviglieri S.r.l. C.so del Popolo, 100 - 45100 Rovigo</v>
      </c>
      <c r="P645" t="str">
        <f>"ZB030FA325: [4950.00€ ]"</f>
        <v>ZB030FA325: [4950.00€ ]</v>
      </c>
      <c r="Q645" t="str">
        <f>""</f>
        <v/>
      </c>
      <c r="R645" t="str">
        <f>""</f>
        <v/>
      </c>
      <c r="S645" t="str">
        <f>""</f>
        <v/>
      </c>
      <c r="T645" t="str">
        <f>"https://portaletrasparenza.consorziobacchiglione.it/dettagli/attodigara/6693/fornitura-arredo-per-sede-consorziale-uff-progettazione-ambiente-e-vigilanza.html"</f>
        <v>https://portaletrasparenza.consorziobacchiglione.it/dettagli/attodigara/6693/fornitura-arredo-per-sede-consorziale-uff-progettazione-ambiente-e-vigilanza.html</v>
      </c>
      <c r="U645" t="str">
        <f>"https://portaletrasparenza.consorziobacchiglione.it/download/attodigara/6693/63ac4569905be.PDF"</f>
        <v>https://portaletrasparenza.consorziobacchiglione.it/download/attodigara/6693/63ac4569905be.PDF</v>
      </c>
      <c r="V64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46" spans="1:22" x14ac:dyDescent="0.3">
      <c r="A646" t="str">
        <f>"Affidamento"</f>
        <v>Affidamento</v>
      </c>
      <c r="B646" t="str">
        <f>"Manutenzione e riparazione distributore mobile N.1 su mezzo targato:DN881SC"</f>
        <v>Manutenzione e riparazione distributore mobile N.1 su mezzo targato:DN881SC</v>
      </c>
      <c r="C646" t="str">
        <f>"Z8230F97BA"</f>
        <v>Z8230F97BA</v>
      </c>
      <c r="D646" t="str">
        <f>"12/03/2021"</f>
        <v>12/03/2021</v>
      </c>
      <c r="E646" t="str">
        <f>""</f>
        <v/>
      </c>
      <c r="F646" t="str">
        <f>""</f>
        <v/>
      </c>
      <c r="G646" t="str">
        <f>"282.00"</f>
        <v>282.00</v>
      </c>
      <c r="H646" t="str">
        <f>"Consorzio di bonifica Bacchiglione"</f>
        <v>Consorzio di bonifica Bacchiglione</v>
      </c>
      <c r="I646" t="str">
        <f>"92223390284"</f>
        <v>92223390284</v>
      </c>
      <c r="J646" t="str">
        <f>"23-AFFIDAMENTO DIRETTO"</f>
        <v>23-AFFIDAMENTO DIRETTO</v>
      </c>
      <c r="K646" t="str">
        <f>"11/03/2021"</f>
        <v>11/03/2021</v>
      </c>
      <c r="L646" t="str">
        <f>"17/03/2021"</f>
        <v>17/03/2021</v>
      </c>
      <c r="M646" t="str">
        <f>""</f>
        <v/>
      </c>
      <c r="N646" t="str">
        <f>"Officina Biesse S.n.c. Via Matteotti 24 35020 Arzergrande PD"</f>
        <v>Officina Biesse S.n.c. Via Matteotti 24 35020 Arzergrande PD</v>
      </c>
      <c r="O646" t="str">
        <f>"Officina Biesse S.n.c. Via Matteotti 24 35020 Arzergrande PD"</f>
        <v>Officina Biesse S.n.c. Via Matteotti 24 35020 Arzergrande PD</v>
      </c>
      <c r="P646" t="str">
        <f>"Z8230F97BA: [282.00€ ]"</f>
        <v>Z8230F97BA: [282.00€ ]</v>
      </c>
      <c r="Q646" t="str">
        <f>""</f>
        <v/>
      </c>
      <c r="R646" t="str">
        <f>""</f>
        <v/>
      </c>
      <c r="S646" t="str">
        <f>""</f>
        <v/>
      </c>
      <c r="T646" t="str">
        <f>"https://portaletrasparenza.consorziobacchiglione.it/dettagli/attodigara/6692/manutenzione-e-riparazione-distributore-mobile-n-1-su-mezzo-targato-dn881sc.html"</f>
        <v>https://portaletrasparenza.consorziobacchiglione.it/dettagli/attodigara/6692/manutenzione-e-riparazione-distributore-mobile-n-1-su-mezzo-targato-dn881sc.html</v>
      </c>
      <c r="U646" t="str">
        <f>"https://portaletrasparenza.consorziobacchiglione.it/download/attodigara/6692/63ac4569574fc.PDF"</f>
        <v>https://portaletrasparenza.consorziobacchiglione.it/download/attodigara/6692/63ac4569574fc.PDF</v>
      </c>
      <c r="V6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47" spans="1:22" x14ac:dyDescent="0.3">
      <c r="A647" t="str">
        <f>"Affidamento"</f>
        <v>Affidamento</v>
      </c>
      <c r="B647" t="str">
        <f>"Spostamento condotta gas per sistemazione tombinatura in Via Capitello Padova"</f>
        <v>Spostamento condotta gas per sistemazione tombinatura in Via Capitello Padova</v>
      </c>
      <c r="C647" t="str">
        <f>"Z7F30F805E"</f>
        <v>Z7F30F805E</v>
      </c>
      <c r="D647" t="str">
        <f>"12/03/2021"</f>
        <v>12/03/2021</v>
      </c>
      <c r="E647" t="str">
        <f>""</f>
        <v/>
      </c>
      <c r="F647" t="str">
        <f>""</f>
        <v/>
      </c>
      <c r="G647" t="str">
        <f>"7175.66"</f>
        <v>7175.66</v>
      </c>
      <c r="H647" t="str">
        <f>"Consorzio di bonifica Bacchiglione"</f>
        <v>Consorzio di bonifica Bacchiglione</v>
      </c>
      <c r="I647" t="str">
        <f>"92223390284"</f>
        <v>92223390284</v>
      </c>
      <c r="J647" t="str">
        <f>"23-AFFIDAMENTO DIRETTO"</f>
        <v>23-AFFIDAMENTO DIRETTO</v>
      </c>
      <c r="K647" t="str">
        <f>"11/03/2021"</f>
        <v>11/03/2021</v>
      </c>
      <c r="L647" t="str">
        <f>"16/03/2021"</f>
        <v>16/03/2021</v>
      </c>
      <c r="M647" t="str">
        <f>""</f>
        <v/>
      </c>
      <c r="N647" t="str">
        <f>"Ap Reti Gas Nord Est S.r.l. Via Jacopo Corrado 1 - 35128 (PD)"</f>
        <v>Ap Reti Gas Nord Est S.r.l. Via Jacopo Corrado 1 - 35128 (PD)</v>
      </c>
      <c r="O647" t="str">
        <f>"Ap Reti Gas Nord Est S.r.l. Via Jacopo Corrado 1 - 35128 (PD)"</f>
        <v>Ap Reti Gas Nord Est S.r.l. Via Jacopo Corrado 1 - 35128 (PD)</v>
      </c>
      <c r="P647" t="str">
        <f>"Z7F30F805E: [7175.66€ ]"</f>
        <v>Z7F30F805E: [7175.66€ ]</v>
      </c>
      <c r="Q647" t="str">
        <f>""</f>
        <v/>
      </c>
      <c r="R647" t="str">
        <f>""</f>
        <v/>
      </c>
      <c r="S647" t="str">
        <f>""</f>
        <v/>
      </c>
      <c r="T647" t="str">
        <f>"https://portaletrasparenza.consorziobacchiglione.it/dettagli/attodigara/6691/spostamento-condotta-gas-per-sistemazione-tombinatura-in-via-capitello-padova.html"</f>
        <v>https://portaletrasparenza.consorziobacchiglione.it/dettagli/attodigara/6691/spostamento-condotta-gas-per-sistemazione-tombinatura-in-via-capitello-padova.html</v>
      </c>
      <c r="U647" t="str">
        <f>"https://portaletrasparenza.consorziobacchiglione.it/download/attodigara/6691/63ac45691ede9.PDF"</f>
        <v>https://portaletrasparenza.consorziobacchiglione.it/download/attodigara/6691/63ac45691ede9.PDF</v>
      </c>
      <c r="V64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48" spans="1:22" x14ac:dyDescent="0.3">
      <c r="A648" t="str">
        <f>"Affidamento"</f>
        <v>Affidamento</v>
      </c>
      <c r="B648" t="str">
        <f>"Fornitura ricambi per benna escavatore mezzo con targa: AKA712."</f>
        <v>Fornitura ricambi per benna escavatore mezzo con targa: AKA712.</v>
      </c>
      <c r="C648" t="str">
        <f>"ZA6195DBEA"</f>
        <v>ZA6195DBEA</v>
      </c>
      <c r="D648" t="str">
        <f>"04/11/2021"</f>
        <v>04/11/2021</v>
      </c>
      <c r="E648" t="str">
        <f>""</f>
        <v/>
      </c>
      <c r="F648" t="str">
        <f>""</f>
        <v/>
      </c>
      <c r="G648" t="str">
        <f>"3302.14"</f>
        <v>3302.14</v>
      </c>
      <c r="H648" t="str">
        <f>"Consorzio di bonifica Bacchiglione"</f>
        <v>Consorzio di bonifica Bacchiglione</v>
      </c>
      <c r="I648" t="str">
        <f>"92223390284"</f>
        <v>92223390284</v>
      </c>
      <c r="J648" t="str">
        <f>"23-AFFIDAMENTO DIRETTO"</f>
        <v>23-AFFIDAMENTO DIRETTO</v>
      </c>
      <c r="K648" t="str">
        <f>"11/04/2021"</f>
        <v>11/04/2021</v>
      </c>
      <c r="L648" t="str">
        <f>"30/05/2021"</f>
        <v>30/05/2021</v>
      </c>
      <c r="M648" t="str">
        <f>""</f>
        <v/>
      </c>
      <c r="N648" t="str">
        <f>"Adriatica Commerciale Macchine s.r.l. Via dell'Artigianato 5 35020 Due Carrare PD"</f>
        <v>Adriatica Commerciale Macchine s.r.l. Via dell'Artigianato 5 35020 Due Carrare PD</v>
      </c>
      <c r="O648" t="str">
        <f>"Adriatica Commerciale Macchine s.r.l. Via dell'Artigianato 5 35020 Due Carrare PD"</f>
        <v>Adriatica Commerciale Macchine s.r.l. Via dell'Artigianato 5 35020 Due Carrare PD</v>
      </c>
      <c r="P648" t="str">
        <f>"ZA6195DBEA: [3302.14€ ]"</f>
        <v>ZA6195DBEA: [3302.14€ ]</v>
      </c>
      <c r="Q648" t="str">
        <f>""</f>
        <v/>
      </c>
      <c r="R648" t="str">
        <f>""</f>
        <v/>
      </c>
      <c r="S648" t="str">
        <f>""</f>
        <v/>
      </c>
      <c r="T648" t="str">
        <f>"https://portaletrasparenza.consorziobacchiglione.it/dettagli/attodigara/315/fornitura-ricambi-per-benna-escavatore-mezzo-con-targa-aka712.html"</f>
        <v>https://portaletrasparenza.consorziobacchiglione.it/dettagli/attodigara/315/fornitura-ricambi-per-benna-escavatore-mezzo-con-targa-aka712.html</v>
      </c>
      <c r="U648" t="str">
        <f>""</f>
        <v/>
      </c>
      <c r="V6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49" spans="1:22" x14ac:dyDescent="0.3">
      <c r="A649" t="str">
        <f>"Affidamento"</f>
        <v>Affidamento</v>
      </c>
      <c r="B649" t="str">
        <f>"Controllo annuale gru con rilascio scheda su mezzo con targa: DA564ZE."</f>
        <v>Controllo annuale gru con rilascio scheda su mezzo con targa: DA564ZE.</v>
      </c>
      <c r="C649" t="str">
        <f>"ZC7195DA06"</f>
        <v>ZC7195DA06</v>
      </c>
      <c r="D649" t="str">
        <f>"04/11/2021"</f>
        <v>04/11/2021</v>
      </c>
      <c r="E649" t="str">
        <f>""</f>
        <v/>
      </c>
      <c r="F649" t="str">
        <f>""</f>
        <v/>
      </c>
      <c r="G649" t="str">
        <f>"669.00"</f>
        <v>669.00</v>
      </c>
      <c r="H649" t="str">
        <f>"Consorzio di bonifica Bacchiglione"</f>
        <v>Consorzio di bonifica Bacchiglione</v>
      </c>
      <c r="I649" t="str">
        <f>"92223390284"</f>
        <v>92223390284</v>
      </c>
      <c r="J649" t="str">
        <f>"23-AFFIDAMENTO DIRETTO"</f>
        <v>23-AFFIDAMENTO DIRETTO</v>
      </c>
      <c r="K649" t="str">
        <f>"11/04/2021"</f>
        <v>11/04/2021</v>
      </c>
      <c r="L649" t="str">
        <f>"18/05/2021"</f>
        <v>18/05/2021</v>
      </c>
      <c r="M649" t="str">
        <f>""</f>
        <v/>
      </c>
      <c r="N649" t="str">
        <f>"Moressa s.r.l. Via Cuccara 2 35020 Due Carrare PD"</f>
        <v>Moressa s.r.l. Via Cuccara 2 35020 Due Carrare PD</v>
      </c>
      <c r="O649" t="str">
        <f>"Moressa s.r.l. Via Cuccara 2 35020 Due Carrare PD"</f>
        <v>Moressa s.r.l. Via Cuccara 2 35020 Due Carrare PD</v>
      </c>
      <c r="P649" t="str">
        <f>"ZC7195DA06: [669.00€ ]"</f>
        <v>ZC7195DA06: [669.00€ ]</v>
      </c>
      <c r="Q649" t="str">
        <f>""</f>
        <v/>
      </c>
      <c r="R649" t="str">
        <f>""</f>
        <v/>
      </c>
      <c r="S649" t="str">
        <f>""</f>
        <v/>
      </c>
      <c r="T649" t="str">
        <f>"https://portaletrasparenza.consorziobacchiglione.it/dettagli/attodigara/314/controllo-annuale-gru-con-rilascio-scheda-su-mezzo-con-targa-da564ze.html"</f>
        <v>https://portaletrasparenza.consorziobacchiglione.it/dettagli/attodigara/314/controllo-annuale-gru-con-rilascio-scheda-su-mezzo-con-targa-da564ze.html</v>
      </c>
      <c r="U649" t="str">
        <f>""</f>
        <v/>
      </c>
      <c r="V6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50" spans="1:22" x14ac:dyDescent="0.3">
      <c r="A650" t="str">
        <f>"Affidamento"</f>
        <v>Affidamento</v>
      </c>
      <c r="B650" t="str">
        <f>"Fornitura materiale edile per scolo Moraro, Pavariane est, Scolo Liettoli."</f>
        <v>Fornitura materiale edile per scolo Moraro, Pavariane est, Scolo Liettoli.</v>
      </c>
      <c r="C650" t="str">
        <f>"ZA6195D7FE"</f>
        <v>ZA6195D7FE</v>
      </c>
      <c r="D650" t="str">
        <f>"04/11/2021"</f>
        <v>04/11/2021</v>
      </c>
      <c r="E650" t="str">
        <f>""</f>
        <v/>
      </c>
      <c r="F650" t="str">
        <f>""</f>
        <v/>
      </c>
      <c r="G650" t="str">
        <f>"424.94"</f>
        <v>424.94</v>
      </c>
      <c r="H650" t="str">
        <f>"Consorzio di bonifica Bacchiglione"</f>
        <v>Consorzio di bonifica Bacchiglione</v>
      </c>
      <c r="I650" t="str">
        <f>"92223390284"</f>
        <v>92223390284</v>
      </c>
      <c r="J650" t="str">
        <f>"23-AFFIDAMENTO DIRETTO"</f>
        <v>23-AFFIDAMENTO DIRETTO</v>
      </c>
      <c r="K650" t="str">
        <f>"11/04/2021"</f>
        <v>11/04/2021</v>
      </c>
      <c r="L650" t="str">
        <f>"18/07/2021"</f>
        <v>18/07/2021</v>
      </c>
      <c r="M650" t="str">
        <f>""</f>
        <v/>
      </c>
      <c r="N650" t="str">
        <f>"Idronord s.r.l. Via delle Industrie 3C 30036 Santa Maria Di Sala VE"</f>
        <v>Idronord s.r.l. Via delle Industrie 3C 30036 Santa Maria Di Sala VE</v>
      </c>
      <c r="O650" t="str">
        <f>"Idronord s.r.l. Via delle Industrie 3C 30036 Santa Maria Di Sala VE"</f>
        <v>Idronord s.r.l. Via delle Industrie 3C 30036 Santa Maria Di Sala VE</v>
      </c>
      <c r="P650" t="str">
        <f>"ZA6195D7FE: [424.94€ ]"</f>
        <v>ZA6195D7FE: [424.94€ ]</v>
      </c>
      <c r="Q650" t="str">
        <f>""</f>
        <v/>
      </c>
      <c r="R650" t="str">
        <f>""</f>
        <v/>
      </c>
      <c r="S650" t="str">
        <f>""</f>
        <v/>
      </c>
      <c r="T650" t="str">
        <f>"https://portaletrasparenza.consorziobacchiglione.it/dettagli/attodigara/313/fornitura-materiale-edile-per-scolo-moraro-pavariane-est-scolo-liettoli.html"</f>
        <v>https://portaletrasparenza.consorziobacchiglione.it/dettagli/attodigara/313/fornitura-materiale-edile-per-scolo-moraro-pavariane-est-scolo-liettoli.html</v>
      </c>
      <c r="U650" t="str">
        <f>""</f>
        <v/>
      </c>
      <c r="V65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51" spans="1:22" x14ac:dyDescent="0.3">
      <c r="A651" t="str">
        <f>"Affidamento"</f>
        <v>Affidamento</v>
      </c>
      <c r="B651" t="str">
        <f>"Fornitura e posa di sbarramento in acciaio AISI 304 da posizionare all'interno del manufatto di sfioro posto su Via Istria. - Processo ID 006-03."</f>
        <v>Fornitura e posa di sbarramento in acciaio AISI 304 da posizionare all'interno del manufatto di sfioro posto su Via Istria. - Processo ID 006-03.</v>
      </c>
      <c r="C651" t="str">
        <f>"ZE7195D2F6"</f>
        <v>ZE7195D2F6</v>
      </c>
      <c r="D651" t="str">
        <f>"04/11/2021"</f>
        <v>04/11/2021</v>
      </c>
      <c r="E651" t="str">
        <f>""</f>
        <v/>
      </c>
      <c r="F651" t="str">
        <f>""</f>
        <v/>
      </c>
      <c r="G651" t="str">
        <f>"3200.00"</f>
        <v>3200.00</v>
      </c>
      <c r="H651" t="str">
        <f>"Consorzio di bonifica Bacchiglione"</f>
        <v>Consorzio di bonifica Bacchiglione</v>
      </c>
      <c r="I651" t="str">
        <f>"92223390284"</f>
        <v>92223390284</v>
      </c>
      <c r="J651" t="str">
        <f>"23-AFFIDAMENTO DIRETTO"</f>
        <v>23-AFFIDAMENTO DIRETTO</v>
      </c>
      <c r="K651" t="str">
        <f>"11/04/2021"</f>
        <v>11/04/2021</v>
      </c>
      <c r="L651" t="str">
        <f>"24/08/2021"</f>
        <v>24/08/2021</v>
      </c>
      <c r="M651" t="str">
        <f>""</f>
        <v/>
      </c>
      <c r="N651" t="str">
        <f>"RT SRL"</f>
        <v>RT SRL</v>
      </c>
      <c r="O651" t="str">
        <f>"RT SRL"</f>
        <v>RT SRL</v>
      </c>
      <c r="P651" t="str">
        <f>"ZE7195D2F6: [3200.00€ ]"</f>
        <v>ZE7195D2F6: [3200.00€ ]</v>
      </c>
      <c r="Q651" t="str">
        <f>""</f>
        <v/>
      </c>
      <c r="R651" t="str">
        <f>""</f>
        <v/>
      </c>
      <c r="S651" t="str">
        <f>""</f>
        <v/>
      </c>
      <c r="T651" t="str">
        <f>"https://portaletrasparenza.consorziobacchiglione.it/dettagli/attodigara/312/fornitura-e-posa-di-sbarramento-in-acciaio-aisi-304-da-posizionare-all-interno-del-manufatto-di-sfioro-posto-su-via-istria-processo-id-006-03.html"</f>
        <v>https://portaletrasparenza.consorziobacchiglione.it/dettagli/attodigara/312/fornitura-e-posa-di-sbarramento-in-acciaio-aisi-304-da-posizionare-all-interno-del-manufatto-di-sfioro-posto-su-via-istria-processo-id-006-03.html</v>
      </c>
      <c r="U651" t="str">
        <f>""</f>
        <v/>
      </c>
      <c r="V65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52" spans="1:22" x14ac:dyDescent="0.3">
      <c r="A652" t="str">
        <f>"Affidamento"</f>
        <v>Affidamento</v>
      </c>
      <c r="B652" t="str">
        <f>"Aumento potenza disponibile da kW 12 a kW 27,5 dell'utenza elettrica, presso l'impianto idrovoro \'Pompa Tabacchin\'."</f>
        <v>Aumento potenza disponibile da kW 12 a kW 27,5 dell'utenza elettrica, presso l'impianto idrovoro \'Pompa Tabacchin\'.</v>
      </c>
      <c r="C652" t="str">
        <f>"Z5319D425C"</f>
        <v>Z5319D425C</v>
      </c>
      <c r="D652" t="str">
        <f>"04/11/2021"</f>
        <v>04/11/2021</v>
      </c>
      <c r="E652" t="str">
        <f>""</f>
        <v/>
      </c>
      <c r="F652" t="str">
        <f>""</f>
        <v/>
      </c>
      <c r="G652" t="str">
        <f>"1102.11"</f>
        <v>1102.11</v>
      </c>
      <c r="H652" t="str">
        <f>"Consorzio di bonifica Bacchiglione"</f>
        <v>Consorzio di bonifica Bacchiglione</v>
      </c>
      <c r="I652" t="str">
        <f>"92223390284"</f>
        <v>92223390284</v>
      </c>
      <c r="J652" t="str">
        <f>"23-AFFIDAMENTO DIRETTO"</f>
        <v>23-AFFIDAMENTO DIRETTO</v>
      </c>
      <c r="K652" t="str">
        <f>"11/05/2021"</f>
        <v>11/05/2021</v>
      </c>
      <c r="L652" t="str">
        <f>"01/07/2021"</f>
        <v>01/07/2021</v>
      </c>
      <c r="M652" t="str">
        <f>""</f>
        <v/>
      </c>
      <c r="N652" t="str">
        <f>"AGSM Energia S.p.A. Lungadige Galtarossa 8 37133 Verona"</f>
        <v>AGSM Energia S.p.A. Lungadige Galtarossa 8 37133 Verona</v>
      </c>
      <c r="O652" t="str">
        <f>"AGSM Energia S.p.A. Lungadige Galtarossa 8 37133 Verona"</f>
        <v>AGSM Energia S.p.A. Lungadige Galtarossa 8 37133 Verona</v>
      </c>
      <c r="P652" t="str">
        <f>"Z5319D425C: [1102.11€ ]"</f>
        <v>Z5319D425C: [1102.11€ ]</v>
      </c>
      <c r="Q652" t="str">
        <f>""</f>
        <v/>
      </c>
      <c r="R652" t="str">
        <f>""</f>
        <v/>
      </c>
      <c r="S652" t="str">
        <f>""</f>
        <v/>
      </c>
      <c r="T652" t="str">
        <f>"https://portaletrasparenza.consorziobacchiglione.it/dettagli/attodigara/416/aumento-potenza-disponibile-da-kw-12-a-kw-27-5-dell-utenza-elettrica-presso-l-impianto-idrovoro-pompa-tabacchin.html"</f>
        <v>https://portaletrasparenza.consorziobacchiglione.it/dettagli/attodigara/416/aumento-potenza-disponibile-da-kw-12-a-kw-27-5-dell-utenza-elettrica-presso-l-impianto-idrovoro-pompa-tabacchin.html</v>
      </c>
      <c r="U652" t="str">
        <f>""</f>
        <v/>
      </c>
      <c r="V6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53" spans="1:22" x14ac:dyDescent="0.3">
      <c r="A653" t="str">
        <f>"Affidamento"</f>
        <v>Affidamento</v>
      </c>
      <c r="B653" t="str">
        <f>"Fornitura antenna e adattatore per strumento topografico GPS900 Leica."</f>
        <v>Fornitura antenna e adattatore per strumento topografico GPS900 Leica.</v>
      </c>
      <c r="C653" t="str">
        <f>"Z9C19D2503"</f>
        <v>Z9C19D2503</v>
      </c>
      <c r="D653" t="str">
        <f>"04/11/2021"</f>
        <v>04/11/2021</v>
      </c>
      <c r="E653" t="str">
        <f>""</f>
        <v/>
      </c>
      <c r="F653" t="str">
        <f>""</f>
        <v/>
      </c>
      <c r="G653" t="str">
        <f>"199.59"</f>
        <v>199.59</v>
      </c>
      <c r="H653" t="str">
        <f>"Consorzio di bonifica Bacchiglione"</f>
        <v>Consorzio di bonifica Bacchiglione</v>
      </c>
      <c r="I653" t="str">
        <f>"92223390284"</f>
        <v>92223390284</v>
      </c>
      <c r="J653" t="str">
        <f>"23-AFFIDAMENTO DIRETTO"</f>
        <v>23-AFFIDAMENTO DIRETTO</v>
      </c>
      <c r="K653" t="str">
        <f>"11/05/2021"</f>
        <v>11/05/2021</v>
      </c>
      <c r="L653" t="str">
        <f>"06/10/2021"</f>
        <v>06/10/2021</v>
      </c>
      <c r="M653" t="str">
        <f>""</f>
        <v/>
      </c>
      <c r="N653" t="str">
        <f>"Leica Geosystems S.p.A. Via Codognino 12 26854 Cornegliano Laudense LO"</f>
        <v>Leica Geosystems S.p.A. Via Codognino 12 26854 Cornegliano Laudense LO</v>
      </c>
      <c r="O653" t="str">
        <f>"Leica Geosystems S.p.A. Via Codognino 12 26854 Cornegliano Laudense LO"</f>
        <v>Leica Geosystems S.p.A. Via Codognino 12 26854 Cornegliano Laudense LO</v>
      </c>
      <c r="P653" t="str">
        <f>"Z9C19D2503: [199.59€ ]"</f>
        <v>Z9C19D2503: [199.59€ ]</v>
      </c>
      <c r="Q653" t="str">
        <f>""</f>
        <v/>
      </c>
      <c r="R653" t="str">
        <f>""</f>
        <v/>
      </c>
      <c r="S653" t="str">
        <f>""</f>
        <v/>
      </c>
      <c r="T653" t="str">
        <f>"https://portaletrasparenza.consorziobacchiglione.it/dettagli/attodigara/415/fornitura-antenna-e-adattatore-per-strumento-topografico-gps900-leica.html"</f>
        <v>https://portaletrasparenza.consorziobacchiglione.it/dettagli/attodigara/415/fornitura-antenna-e-adattatore-per-strumento-topografico-gps900-leica.html</v>
      </c>
      <c r="U653" t="str">
        <f>""</f>
        <v/>
      </c>
      <c r="V6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54" spans="1:22" x14ac:dyDescent="0.3">
      <c r="A654" t="str">
        <f>"Affidamento"</f>
        <v>Affidamento</v>
      </c>
      <c r="B654" t="str">
        <f>"Fornitura di un riduttore per EP1 Idrovora S.Margherita."</f>
        <v>Fornitura di un riduttore per EP1 Idrovora S.Margherita.</v>
      </c>
      <c r="C654" t="str">
        <f>"Z2E19D1808"</f>
        <v>Z2E19D1808</v>
      </c>
      <c r="D654" t="str">
        <f>"04/11/2021"</f>
        <v>04/11/2021</v>
      </c>
      <c r="E654" t="str">
        <f>""</f>
        <v/>
      </c>
      <c r="F654" t="str">
        <f>""</f>
        <v/>
      </c>
      <c r="G654" t="str">
        <f>"12365.60"</f>
        <v>12365.60</v>
      </c>
      <c r="H654" t="str">
        <f>"Consorzio di bonifica Bacchiglione"</f>
        <v>Consorzio di bonifica Bacchiglione</v>
      </c>
      <c r="I654" t="str">
        <f>"92223390284"</f>
        <v>92223390284</v>
      </c>
      <c r="J654" t="str">
        <f>"23-AFFIDAMENTO DIRETTO"</f>
        <v>23-AFFIDAMENTO DIRETTO</v>
      </c>
      <c r="K654" t="str">
        <f>"11/05/2021"</f>
        <v>11/05/2021</v>
      </c>
      <c r="L654" t="str">
        <f>"06/09/2021"</f>
        <v>06/09/2021</v>
      </c>
      <c r="M654" t="str">
        <f>""</f>
        <v/>
      </c>
      <c r="N654" t="str">
        <f>"Rossi S.P.A. via Emilia Ovest 915A 41123 Modena"</f>
        <v>Rossi S.P.A. via Emilia Ovest 915A 41123 Modena</v>
      </c>
      <c r="O654" t="str">
        <f>"Rossi S.P.A. via Emilia Ovest 915A 41123 Modena"</f>
        <v>Rossi S.P.A. via Emilia Ovest 915A 41123 Modena</v>
      </c>
      <c r="P654" t="str">
        <f>"Z2E19D1808: [12365.60€ ]"</f>
        <v>Z2E19D1808: [12365.60€ ]</v>
      </c>
      <c r="Q654" t="str">
        <f>""</f>
        <v/>
      </c>
      <c r="R654" t="str">
        <f>""</f>
        <v/>
      </c>
      <c r="S654" t="str">
        <f>""</f>
        <v/>
      </c>
      <c r="T654" t="str">
        <f>"https://portaletrasparenza.consorziobacchiglione.it/dettagli/attodigara/414/fornitura-di-un-riduttore-per-ep1-idrovora-s-margherita.html"</f>
        <v>https://portaletrasparenza.consorziobacchiglione.it/dettagli/attodigara/414/fornitura-di-un-riduttore-per-ep1-idrovora-s-margherita.html</v>
      </c>
      <c r="U654" t="str">
        <f>""</f>
        <v/>
      </c>
      <c r="V6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55" spans="1:22" x14ac:dyDescent="0.3">
      <c r="A655" t="str">
        <f>"Affidamento"</f>
        <v>Affidamento</v>
      </c>
      <c r="B655" t="str">
        <f>"Fornitura olio sintetico per riduttore E.P.1.S.Margherita."</f>
        <v>Fornitura olio sintetico per riduttore E.P.1.S.Margherita.</v>
      </c>
      <c r="C655" t="str">
        <f>"Z1719D12D0"</f>
        <v>Z1719D12D0</v>
      </c>
      <c r="D655" t="str">
        <f>"04/11/2021"</f>
        <v>04/11/2021</v>
      </c>
      <c r="E655" t="str">
        <f>""</f>
        <v/>
      </c>
      <c r="F655" t="str">
        <f>""</f>
        <v/>
      </c>
      <c r="G655" t="str">
        <f>"576.00"</f>
        <v>576.00</v>
      </c>
      <c r="H655" t="str">
        <f>"Consorzio di bonifica Bacchiglione"</f>
        <v>Consorzio di bonifica Bacchiglione</v>
      </c>
      <c r="I655" t="str">
        <f>"92223390284"</f>
        <v>92223390284</v>
      </c>
      <c r="J655" t="str">
        <f>"23-AFFIDAMENTO DIRETTO"</f>
        <v>23-AFFIDAMENTO DIRETTO</v>
      </c>
      <c r="K655" t="str">
        <f>"11/05/2021"</f>
        <v>11/05/2021</v>
      </c>
      <c r="L655" t="str">
        <f>"04/01/2021"</f>
        <v>04/01/2021</v>
      </c>
      <c r="M655" t="str">
        <f>""</f>
        <v/>
      </c>
      <c r="N655" t="str">
        <f>"Nuova chimica commerciale Via Roma 58 35020 Candiana PD"</f>
        <v>Nuova chimica commerciale Via Roma 58 35020 Candiana PD</v>
      </c>
      <c r="O655" t="str">
        <f>"Nuova chimica commerciale Via Roma 58 35020 Candiana PD"</f>
        <v>Nuova chimica commerciale Via Roma 58 35020 Candiana PD</v>
      </c>
      <c r="P655" t="str">
        <f>"Z1719D12D0: [576.00€ ]"</f>
        <v>Z1719D12D0: [576.00€ ]</v>
      </c>
      <c r="Q655" t="str">
        <f>""</f>
        <v/>
      </c>
      <c r="R655" t="str">
        <f>""</f>
        <v/>
      </c>
      <c r="S655" t="str">
        <f>""</f>
        <v/>
      </c>
      <c r="T655" t="str">
        <f>"https://portaletrasparenza.consorziobacchiglione.it/dettagli/attodigara/413/fornitura-olio-sintetico-per-riduttore-e-p-1-s-margherita.html"</f>
        <v>https://portaletrasparenza.consorziobacchiglione.it/dettagli/attodigara/413/fornitura-olio-sintetico-per-riduttore-e-p-1-s-margherita.html</v>
      </c>
      <c r="U655" t="str">
        <f>""</f>
        <v/>
      </c>
      <c r="V6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56" spans="1:22" x14ac:dyDescent="0.3">
      <c r="A656" t="str">
        <f>"Affidamento"</f>
        <v>Affidamento</v>
      </c>
      <c r="B656" t="str">
        <f>"Fornitura sasso per lavori scolo Castellaro."</f>
        <v>Fornitura sasso per lavori scolo Castellaro.</v>
      </c>
      <c r="C656" t="str">
        <f>"Z5A19D0F4D"</f>
        <v>Z5A19D0F4D</v>
      </c>
      <c r="D656" t="str">
        <f>"04/11/2021"</f>
        <v>04/11/2021</v>
      </c>
      <c r="E656" t="str">
        <f>""</f>
        <v/>
      </c>
      <c r="F656" t="str">
        <f>""</f>
        <v/>
      </c>
      <c r="G656" t="str">
        <f>"2875.62"</f>
        <v>2875.62</v>
      </c>
      <c r="H656" t="str">
        <f>"Consorzio di bonifica Bacchiglione"</f>
        <v>Consorzio di bonifica Bacchiglione</v>
      </c>
      <c r="I656" t="str">
        <f>"92223390284"</f>
        <v>92223390284</v>
      </c>
      <c r="J656" t="str">
        <f>"23-AFFIDAMENTO DIRETTO"</f>
        <v>23-AFFIDAMENTO DIRETTO</v>
      </c>
      <c r="K656" t="str">
        <f>"11/05/2021"</f>
        <v>11/05/2021</v>
      </c>
      <c r="L656" t="str">
        <f>"09/06/2021"</f>
        <v>09/06/2021</v>
      </c>
      <c r="M656" t="str">
        <f>""</f>
        <v/>
      </c>
      <c r="N656" t="str">
        <f>"Trovò s.r.l. Via Idrovora, 3 - 35020 Codevigo (PD)"</f>
        <v>Trovò s.r.l. Via Idrovora, 3 - 35020 Codevigo (PD)</v>
      </c>
      <c r="O656" t="str">
        <f>"Trovò s.r.l. Via Idrovora, 3 - 35020 Codevigo (PD)"</f>
        <v>Trovò s.r.l. Via Idrovora, 3 - 35020 Codevigo (PD)</v>
      </c>
      <c r="P656" t="str">
        <f>"Z5A19D0F4D: [2875.62€ ]"</f>
        <v>Z5A19D0F4D: [2875.62€ ]</v>
      </c>
      <c r="Q656" t="str">
        <f>""</f>
        <v/>
      </c>
      <c r="R656" t="str">
        <f>""</f>
        <v/>
      </c>
      <c r="S656" t="str">
        <f>""</f>
        <v/>
      </c>
      <c r="T656" t="str">
        <f>"https://portaletrasparenza.consorziobacchiglione.it/dettagli/attodigara/411/fornitura-sasso-per-lavori-scolo-castellaro.html"</f>
        <v>https://portaletrasparenza.consorziobacchiglione.it/dettagli/attodigara/411/fornitura-sasso-per-lavori-scolo-castellaro.html</v>
      </c>
      <c r="U656" t="str">
        <f>""</f>
        <v/>
      </c>
      <c r="V65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57" spans="1:22" x14ac:dyDescent="0.3">
      <c r="A657" t="str">
        <f>"Affidamento"</f>
        <v>Affidamento</v>
      </c>
      <c r="B657" t="str">
        <f>"Revisione e potenziamento elettropompa E.P.1 Idrovora S.Margherita."</f>
        <v>Revisione e potenziamento elettropompa E.P.1 Idrovora S.Margherita.</v>
      </c>
      <c r="C657" t="str">
        <f>"Z8019D0BD1"</f>
        <v>Z8019D0BD1</v>
      </c>
      <c r="D657" t="str">
        <f>"04/11/2021"</f>
        <v>04/11/2021</v>
      </c>
      <c r="E657" t="str">
        <f>""</f>
        <v/>
      </c>
      <c r="F657" t="str">
        <f>""</f>
        <v/>
      </c>
      <c r="G657" t="str">
        <f>"11450.00"</f>
        <v>11450.00</v>
      </c>
      <c r="H657" t="str">
        <f>"Consorzio di bonifica Bacchiglione"</f>
        <v>Consorzio di bonifica Bacchiglione</v>
      </c>
      <c r="I657" t="str">
        <f>"92223390284"</f>
        <v>92223390284</v>
      </c>
      <c r="J657" t="str">
        <f>"23-AFFIDAMENTO DIRETTO"</f>
        <v>23-AFFIDAMENTO DIRETTO</v>
      </c>
      <c r="K657" t="str">
        <f>"11/05/2021"</f>
        <v>11/05/2021</v>
      </c>
      <c r="L657" t="str">
        <f>"28/02/2021"</f>
        <v>28/02/2021</v>
      </c>
      <c r="M657" t="str">
        <f>""</f>
        <v/>
      </c>
      <c r="N657" t="str">
        <f>"Moro Meccanica S.R.L. Via Bologna 7 35035 Mestrino PD"</f>
        <v>Moro Meccanica S.R.L. Via Bologna 7 35035 Mestrino PD</v>
      </c>
      <c r="O657" t="str">
        <f>"Moro Meccanica S.R.L. Via Bologna 7 35035 Mestrino PD"</f>
        <v>Moro Meccanica S.R.L. Via Bologna 7 35035 Mestrino PD</v>
      </c>
      <c r="P657" t="str">
        <f>"Z8019D0BD1: [11450.00€ ]"</f>
        <v>Z8019D0BD1: [11450.00€ ]</v>
      </c>
      <c r="Q657" t="str">
        <f>""</f>
        <v/>
      </c>
      <c r="R657" t="str">
        <f>""</f>
        <v/>
      </c>
      <c r="S657" t="str">
        <f>""</f>
        <v/>
      </c>
      <c r="T657" t="str">
        <f>"https://portaletrasparenza.consorziobacchiglione.it/dettagli/attodigara/410/revisione-e-potenziamento-elettropompa-e-p-1-idrovora-s-margherita.html"</f>
        <v>https://portaletrasparenza.consorziobacchiglione.it/dettagli/attodigara/410/revisione-e-potenziamento-elettropompa-e-p-1-idrovora-s-margherita.html</v>
      </c>
      <c r="U657" t="str">
        <f>""</f>
        <v/>
      </c>
      <c r="V65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58" spans="1:22" x14ac:dyDescent="0.3">
      <c r="A658" t="str">
        <f>"Affidamento"</f>
        <v>Affidamento</v>
      </c>
      <c r="B658" t="str">
        <f>"Revisione generale elettropompa E.P.2 Impianto irriguo 3 Bacino."</f>
        <v>Revisione generale elettropompa E.P.2 Impianto irriguo 3 Bacino.</v>
      </c>
      <c r="C658" t="str">
        <f>"Z6019D0913"</f>
        <v>Z6019D0913</v>
      </c>
      <c r="D658" t="str">
        <f>"04/11/2021"</f>
        <v>04/11/2021</v>
      </c>
      <c r="E658" t="str">
        <f>""</f>
        <v/>
      </c>
      <c r="F658" t="str">
        <f>""</f>
        <v/>
      </c>
      <c r="G658" t="str">
        <f>"5950.00"</f>
        <v>5950.00</v>
      </c>
      <c r="H658" t="str">
        <f>"Consorzio di bonifica Bacchiglione"</f>
        <v>Consorzio di bonifica Bacchiglione</v>
      </c>
      <c r="I658" t="str">
        <f>"92223390284"</f>
        <v>92223390284</v>
      </c>
      <c r="J658" t="str">
        <f>"23-AFFIDAMENTO DIRETTO"</f>
        <v>23-AFFIDAMENTO DIRETTO</v>
      </c>
      <c r="K658" t="str">
        <f>"11/05/2021"</f>
        <v>11/05/2021</v>
      </c>
      <c r="L658" t="str">
        <f>"24/08/2021"</f>
        <v>24/08/2021</v>
      </c>
      <c r="M658" t="str">
        <f>""</f>
        <v/>
      </c>
      <c r="N658" t="str">
        <f>"Officina Biesse S.n.c. Via Matteotti 24 35020 Arzergrande PD | Moro Meccanica S.R.L. Via Bologna 7 35035 Mestrino PD | Officine Sturaro S.R.L. Via Meucci 16 35028 Piove di Sacco PD"</f>
        <v>Officina Biesse S.n.c. Via Matteotti 24 35020 Arzergrande PD | Moro Meccanica S.R.L. Via Bologna 7 35035 Mestrino PD | Officine Sturaro S.R.L. Via Meucci 16 35028 Piove di Sacco PD</v>
      </c>
      <c r="O658" t="str">
        <f>"Moro Meccanica S.R.L. Via Bologna 7 35035 Mestrino PD"</f>
        <v>Moro Meccanica S.R.L. Via Bologna 7 35035 Mestrino PD</v>
      </c>
      <c r="P658" t="str">
        <f>"Z6019D0913: [5950.00€ ]"</f>
        <v>Z6019D0913: [5950.00€ ]</v>
      </c>
      <c r="Q658" t="str">
        <f>""</f>
        <v/>
      </c>
      <c r="R658" t="str">
        <f>""</f>
        <v/>
      </c>
      <c r="S658" t="str">
        <f>""</f>
        <v/>
      </c>
      <c r="T658" t="str">
        <f>"https://portaletrasparenza.consorziobacchiglione.it/dettagli/attodigara/409/revisione-generale-elettropompa-e-p-2-impianto-irriguo-3-bacino.html"</f>
        <v>https://portaletrasparenza.consorziobacchiglione.it/dettagli/attodigara/409/revisione-generale-elettropompa-e-p-2-impianto-irriguo-3-bacino.html</v>
      </c>
      <c r="U658" t="str">
        <f>""</f>
        <v/>
      </c>
      <c r="V6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59" spans="1:22" x14ac:dyDescent="0.3">
      <c r="A659" t="str">
        <f>"Affidamento"</f>
        <v>Affidamento</v>
      </c>
      <c r="B659" t="str">
        <f>"Revisione generale elettropompa E.P.2 Impianto irriguo 2 Bacino."</f>
        <v>Revisione generale elettropompa E.P.2 Impianto irriguo 2 Bacino.</v>
      </c>
      <c r="C659" t="str">
        <f>"Z9D19D05E8"</f>
        <v>Z9D19D05E8</v>
      </c>
      <c r="D659" t="str">
        <f>"04/11/2021"</f>
        <v>04/11/2021</v>
      </c>
      <c r="E659" t="str">
        <f>""</f>
        <v/>
      </c>
      <c r="F659" t="str">
        <f>""</f>
        <v/>
      </c>
      <c r="G659" t="str">
        <f>"5950.00"</f>
        <v>5950.00</v>
      </c>
      <c r="H659" t="str">
        <f>"Consorzio di bonifica Bacchiglione"</f>
        <v>Consorzio di bonifica Bacchiglione</v>
      </c>
      <c r="I659" t="str">
        <f>"92223390284"</f>
        <v>92223390284</v>
      </c>
      <c r="J659" t="str">
        <f>"23-AFFIDAMENTO DIRETTO"</f>
        <v>23-AFFIDAMENTO DIRETTO</v>
      </c>
      <c r="K659" t="str">
        <f>"11/05/2021"</f>
        <v>11/05/2021</v>
      </c>
      <c r="L659" t="str">
        <f>"15/11/2021"</f>
        <v>15/11/2021</v>
      </c>
      <c r="M659" t="str">
        <f>""</f>
        <v/>
      </c>
      <c r="N659" t="str">
        <f>"Officina Biesse S.n.c. Via Matteotti 24 35020 Arzergrande PD | Moro Meccanica S.R.L. Via Bologna 7 35035 Mestrino PD | Officine Sturaro S.R.L. Via Meucci 16 35028 Piove di Sacco PD"</f>
        <v>Officina Biesse S.n.c. Via Matteotti 24 35020 Arzergrande PD | Moro Meccanica S.R.L. Via Bologna 7 35035 Mestrino PD | Officine Sturaro S.R.L. Via Meucci 16 35028 Piove di Sacco PD</v>
      </c>
      <c r="O659" t="str">
        <f>"Moro Meccanica S.R.L. Via Bologna 7 35035 Mestrino PD"</f>
        <v>Moro Meccanica S.R.L. Via Bologna 7 35035 Mestrino PD</v>
      </c>
      <c r="P659" t="str">
        <f>"Z9D19D05E8: [5950.00€ ]"</f>
        <v>Z9D19D05E8: [5950.00€ ]</v>
      </c>
      <c r="Q659" t="str">
        <f>""</f>
        <v/>
      </c>
      <c r="R659" t="str">
        <f>""</f>
        <v/>
      </c>
      <c r="S659" t="str">
        <f>""</f>
        <v/>
      </c>
      <c r="T659" t="str">
        <f>"https://portaletrasparenza.consorziobacchiglione.it/dettagli/attodigara/408/revisione-generale-elettropompa-e-p-2-impianto-irriguo-2-bacino.html"</f>
        <v>https://portaletrasparenza.consorziobacchiglione.it/dettagli/attodigara/408/revisione-generale-elettropompa-e-p-2-impianto-irriguo-2-bacino.html</v>
      </c>
      <c r="U659" t="str">
        <f>""</f>
        <v/>
      </c>
      <c r="V65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60" spans="1:22" x14ac:dyDescent="0.3">
      <c r="A660" t="str">
        <f>"Affidamento"</f>
        <v>Affidamento</v>
      </c>
      <c r="B660" t="str">
        <f>"Fornitura materiale elettrico per bacino Sesta Presa."</f>
        <v>Fornitura materiale elettrico per bacino Sesta Presa.</v>
      </c>
      <c r="C660" t="str">
        <f>"ZBD19D107E"</f>
        <v>ZBD19D107E</v>
      </c>
      <c r="D660" t="str">
        <f>"04/11/2021"</f>
        <v>04/11/2021</v>
      </c>
      <c r="E660" t="str">
        <f>""</f>
        <v/>
      </c>
      <c r="F660" t="str">
        <f>""</f>
        <v/>
      </c>
      <c r="G660" t="str">
        <f>"1379.50"</f>
        <v>1379.50</v>
      </c>
      <c r="H660" t="str">
        <f>"Consorzio di bonifica Bacchiglione"</f>
        <v>Consorzio di bonifica Bacchiglione</v>
      </c>
      <c r="I660" t="str">
        <f>"92223390284"</f>
        <v>92223390284</v>
      </c>
      <c r="J660" t="str">
        <f>"23-AFFIDAMENTO DIRETTO"</f>
        <v>23-AFFIDAMENTO DIRETTO</v>
      </c>
      <c r="K660" t="str">
        <f>"11/05/2021"</f>
        <v>11/05/2021</v>
      </c>
      <c r="L660" t="str">
        <f>"30/06/2021"</f>
        <v>30/06/2021</v>
      </c>
      <c r="M660" t="str">
        <f>""</f>
        <v/>
      </c>
      <c r="N660" t="str">
        <f>"Elettroveneta S.p.A. Viale della Navigazione Interna, 48 - 35129 Padova (PD)"</f>
        <v>Elettroveneta S.p.A. Viale della Navigazione Interna, 48 - 35129 Padova (PD)</v>
      </c>
      <c r="O660" t="str">
        <f>"Elettroveneta S.p.A. Viale della Navigazione Interna, 48 - 35129 Padova (PD)"</f>
        <v>Elettroveneta S.p.A. Viale della Navigazione Interna, 48 - 35129 Padova (PD)</v>
      </c>
      <c r="P660" t="str">
        <f>"ZBD19D107E: [1370.24€ ]"</f>
        <v>ZBD19D107E: [1370.24€ ]</v>
      </c>
      <c r="Q660" t="str">
        <f>""</f>
        <v/>
      </c>
      <c r="R660" t="str">
        <f>""</f>
        <v/>
      </c>
      <c r="S660" t="str">
        <f>""</f>
        <v/>
      </c>
      <c r="T660" t="str">
        <f>"https://portaletrasparenza.consorziobacchiglione.it/dettagli/attodigara/412/fornitura-materiale-elettrico-per-bacino-sesta-presa.html"</f>
        <v>https://portaletrasparenza.consorziobacchiglione.it/dettagli/attodigara/412/fornitura-materiale-elettrico-per-bacino-sesta-presa.html</v>
      </c>
      <c r="U660" t="str">
        <f>""</f>
        <v/>
      </c>
      <c r="V660">
        <f>(SUBSTITUTE(Tabella1[[#This Row],[Importo di aggiudicazione]],".",","))-(SUBSTITUTE(  SUBSTITUTE(          SUBSTITUTE(Tabella1[[#This Row],[Dettaglio somme liquidate]],Tabella1[[#This Row],[CIG]]&amp;": [",""),"€ ]",""),".",","))</f>
        <v>9.2599999999999909</v>
      </c>
    </row>
    <row r="661" spans="1:22" x14ac:dyDescent="0.3">
      <c r="A661" t="str">
        <f>"Affidamento"</f>
        <v>Affidamento</v>
      </c>
      <c r="B661" t="str">
        <f>"Revisione valvola di chiusura presso Sifone Fogolana"</f>
        <v>Revisione valvola di chiusura presso Sifone Fogolana</v>
      </c>
      <c r="C661" t="str">
        <f>"ZF03216433"</f>
        <v>ZF03216433</v>
      </c>
      <c r="D661" t="str">
        <f>"11/06/2021"</f>
        <v>11/06/2021</v>
      </c>
      <c r="E661" t="str">
        <f>""</f>
        <v/>
      </c>
      <c r="F661" t="str">
        <f>""</f>
        <v/>
      </c>
      <c r="G661" t="str">
        <f>"2995.60"</f>
        <v>2995.60</v>
      </c>
      <c r="H661" t="str">
        <f>"Consorzio di bonifica Bacchiglione"</f>
        <v>Consorzio di bonifica Bacchiglione</v>
      </c>
      <c r="I661" t="str">
        <f>"92223390284"</f>
        <v>92223390284</v>
      </c>
      <c r="J661" t="str">
        <f>"23-AFFIDAMENTO DIRETTO"</f>
        <v>23-AFFIDAMENTO DIRETTO</v>
      </c>
      <c r="K661" t="str">
        <f>"11/06/2021"</f>
        <v>11/06/2021</v>
      </c>
      <c r="L661" t="str">
        <f>"24/06/2021"</f>
        <v>24/06/2021</v>
      </c>
      <c r="M661" t="str">
        <f>""</f>
        <v/>
      </c>
      <c r="N661" t="str">
        <f>"Officina Biesse S.n.c. Via Matteotti 24 35020 Arzergrande PD"</f>
        <v>Officina Biesse S.n.c. Via Matteotti 24 35020 Arzergrande PD</v>
      </c>
      <c r="O661" t="str">
        <f>"Officina Biesse S.n.c. Via Matteotti 24 35020 Arzergrande PD"</f>
        <v>Officina Biesse S.n.c. Via Matteotti 24 35020 Arzergrande PD</v>
      </c>
      <c r="P661" t="str">
        <f>"ZF03216433: [2995.60€ ]"</f>
        <v>ZF03216433: [2995.60€ ]</v>
      </c>
      <c r="Q661" t="str">
        <f>""</f>
        <v/>
      </c>
      <c r="R661" t="str">
        <f>""</f>
        <v/>
      </c>
      <c r="S661" t="str">
        <f>""</f>
        <v/>
      </c>
      <c r="T661" t="str">
        <f>"https://portaletrasparenza.consorziobacchiglione.it/dettagli/attodigara/6939/revisione-valvola-di-chiusura-presso-sifone-fogolana.html"</f>
        <v>https://portaletrasparenza.consorziobacchiglione.it/dettagli/attodigara/6939/revisione-valvola-di-chiusura-presso-sifone-fogolana.html</v>
      </c>
      <c r="U661" t="str">
        <f>"https://portaletrasparenza.consorziobacchiglione.it/download/attodigara/6939/63ac45983fe94.PDF"</f>
        <v>https://portaletrasparenza.consorziobacchiglione.it/download/attodigara/6939/63ac45983fe94.PDF</v>
      </c>
      <c r="V66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62" spans="1:22" x14ac:dyDescent="0.3">
      <c r="A662" t="str">
        <f>"Affidamento"</f>
        <v>Affidamento</v>
      </c>
      <c r="B662" t="str">
        <f>"Manutenzione e riparazione mezzo targato: CB933XY"</f>
        <v>Manutenzione e riparazione mezzo targato: CB933XY</v>
      </c>
      <c r="C662" t="str">
        <f>"ZFA321553F"</f>
        <v>ZFA321553F</v>
      </c>
      <c r="D662" t="str">
        <f>"11/06/2021"</f>
        <v>11/06/2021</v>
      </c>
      <c r="E662" t="str">
        <f>""</f>
        <v/>
      </c>
      <c r="F662" t="str">
        <f>""</f>
        <v/>
      </c>
      <c r="G662" t="str">
        <f>"1978.43"</f>
        <v>1978.43</v>
      </c>
      <c r="H662" t="str">
        <f>"Consorzio di bonifica Bacchiglione"</f>
        <v>Consorzio di bonifica Bacchiglione</v>
      </c>
      <c r="I662" t="str">
        <f>"92223390284"</f>
        <v>92223390284</v>
      </c>
      <c r="J662" t="str">
        <f>"23-AFFIDAMENTO DIRETTO"</f>
        <v>23-AFFIDAMENTO DIRETTO</v>
      </c>
      <c r="K662" t="str">
        <f>"11/06/2021"</f>
        <v>11/06/2021</v>
      </c>
      <c r="L662" t="str">
        <f>"30/06/2021"</f>
        <v>30/06/2021</v>
      </c>
      <c r="M662" t="str">
        <f>""</f>
        <v/>
      </c>
      <c r="N662" t="str">
        <f>"Elettrodiesel Peruzzo s.r.l. Via Tevere 30 35135 Padova"</f>
        <v>Elettrodiesel Peruzzo s.r.l. Via Tevere 30 35135 Padova</v>
      </c>
      <c r="O662" t="str">
        <f>"Elettrodiesel Peruzzo s.r.l. Via Tevere 30 35135 Padova"</f>
        <v>Elettrodiesel Peruzzo s.r.l. Via Tevere 30 35135 Padova</v>
      </c>
      <c r="P662" t="str">
        <f>"ZFA321553F: [1978.43€ ]"</f>
        <v>ZFA321553F: [1978.43€ ]</v>
      </c>
      <c r="Q662" t="str">
        <f>""</f>
        <v/>
      </c>
      <c r="R662" t="str">
        <f>""</f>
        <v/>
      </c>
      <c r="S662" t="str">
        <f>""</f>
        <v/>
      </c>
      <c r="T662" t="str">
        <f>"https://portaletrasparenza.consorziobacchiglione.it/dettagli/attodigara/6937/manutenzione-e-riparazione-mezzo-targato-cb933xy.html"</f>
        <v>https://portaletrasparenza.consorziobacchiglione.it/dettagli/attodigara/6937/manutenzione-e-riparazione-mezzo-targato-cb933xy.html</v>
      </c>
      <c r="U662" t="str">
        <f>"https://portaletrasparenza.consorziobacchiglione.it/download/attodigara/6937/63ac4597c101a.PDF"</f>
        <v>https://portaletrasparenza.consorziobacchiglione.it/download/attodigara/6937/63ac4597c101a.PDF</v>
      </c>
      <c r="V66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63" spans="1:22" x14ac:dyDescent="0.3">
      <c r="A663" t="str">
        <f>"Affidamento"</f>
        <v>Affidamento</v>
      </c>
      <c r="B663" t="str">
        <f>"Lavori da eseguirsi presso gli impianti idrovori Vallesella e Fogolana a completamento della determina n.21 del 08/01/21"</f>
        <v>Lavori da eseguirsi presso gli impianti idrovori Vallesella e Fogolana a completamento della determina n.21 del 08/01/21</v>
      </c>
      <c r="C663" t="str">
        <f>"Z44321514B"</f>
        <v>Z44321514B</v>
      </c>
      <c r="D663" t="str">
        <f>"11/06/2021"</f>
        <v>11/06/2021</v>
      </c>
      <c r="E663" t="str">
        <f>""</f>
        <v/>
      </c>
      <c r="F663" t="str">
        <f>""</f>
        <v/>
      </c>
      <c r="G663" t="str">
        <f>"2232.70"</f>
        <v>2232.70</v>
      </c>
      <c r="H663" t="str">
        <f>"Consorzio di bonifica Bacchiglione"</f>
        <v>Consorzio di bonifica Bacchiglione</v>
      </c>
      <c r="I663" t="str">
        <f>"92223390284"</f>
        <v>92223390284</v>
      </c>
      <c r="J663" t="str">
        <f>"23-AFFIDAMENTO DIRETTO"</f>
        <v>23-AFFIDAMENTO DIRETTO</v>
      </c>
      <c r="K663" t="str">
        <f>"11/06/2021"</f>
        <v>11/06/2021</v>
      </c>
      <c r="L663" t="str">
        <f>"02/07/2021"</f>
        <v>02/07/2021</v>
      </c>
      <c r="M663" t="str">
        <f>""</f>
        <v/>
      </c>
      <c r="N663" t="str">
        <f>"Edil Prestige S.r.l.s. Via Aquilei 40 35035 Mestrino PD"</f>
        <v>Edil Prestige S.r.l.s. Via Aquilei 40 35035 Mestrino PD</v>
      </c>
      <c r="O663" t="str">
        <f>"Edil Prestige S.r.l.s. Via Aquilei 40 35035 Mestrino PD"</f>
        <v>Edil Prestige S.r.l.s. Via Aquilei 40 35035 Mestrino PD</v>
      </c>
      <c r="P663" t="str">
        <f>"Z44321514B: [2232.70€ ]"</f>
        <v>Z44321514B: [2232.70€ ]</v>
      </c>
      <c r="Q663" t="str">
        <f>""</f>
        <v/>
      </c>
      <c r="R663" t="str">
        <f>""</f>
        <v/>
      </c>
      <c r="S663" t="str">
        <f>""</f>
        <v/>
      </c>
      <c r="T663" t="str">
        <f>"https://portaletrasparenza.consorziobacchiglione.it/dettagli/attodigara/6936/lavori-da-eseguirsi-presso-gli-impianti-idrovori-vallesella-e-fogolana-a-completamento-della-determina-n-21-del-08-01-21.html"</f>
        <v>https://portaletrasparenza.consorziobacchiglione.it/dettagli/attodigara/6936/lavori-da-eseguirsi-presso-gli-impianti-idrovori-vallesella-e-fogolana-a-completamento-della-determina-n-21-del-08-01-21.html</v>
      </c>
      <c r="U663" t="str">
        <f>"https://portaletrasparenza.consorziobacchiglione.it/download/attodigara/6936/63ac45980707e.PDF"</f>
        <v>https://portaletrasparenza.consorziobacchiglione.it/download/attodigara/6936/63ac45980707e.PDF</v>
      </c>
      <c r="V6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64" spans="1:22" x14ac:dyDescent="0.3">
      <c r="A664" t="str">
        <f>"Affidamento"</f>
        <v>Affidamento</v>
      </c>
      <c r="B664" t="str">
        <f>"Manutenzione e riparazione mezzo con targa: AKB005 e cingolato 904"</f>
        <v>Manutenzione e riparazione mezzo con targa: AKB005 e cingolato 904</v>
      </c>
      <c r="C664" t="str">
        <f>"Z2B32174B7"</f>
        <v>Z2B32174B7</v>
      </c>
      <c r="D664" t="str">
        <f>"15/06/2021"</f>
        <v>15/06/2021</v>
      </c>
      <c r="E664" t="str">
        <f>""</f>
        <v/>
      </c>
      <c r="F664" t="str">
        <f>""</f>
        <v/>
      </c>
      <c r="G664" t="str">
        <f>"1340.00"</f>
        <v>1340.00</v>
      </c>
      <c r="H664" t="str">
        <f>"Consorzio di bonifica Bacchiglione"</f>
        <v>Consorzio di bonifica Bacchiglione</v>
      </c>
      <c r="I664" t="str">
        <f>"92223390284"</f>
        <v>92223390284</v>
      </c>
      <c r="J664" t="str">
        <f>"23-AFFIDAMENTO DIRETTO"</f>
        <v>23-AFFIDAMENTO DIRETTO</v>
      </c>
      <c r="K664" t="str">
        <f>"11/06/2021"</f>
        <v>11/06/2021</v>
      </c>
      <c r="L664" t="str">
        <f>"25/06/2021"</f>
        <v>25/06/2021</v>
      </c>
      <c r="M664" t="str">
        <f>""</f>
        <v/>
      </c>
      <c r="N664" t="str">
        <f>"Officina Biesse S.n.c. Via Matteotti 24 35020 Arzergrande PD"</f>
        <v>Officina Biesse S.n.c. Via Matteotti 24 35020 Arzergrande PD</v>
      </c>
      <c r="O664" t="str">
        <f>"Officina Biesse S.n.c. Via Matteotti 24 35020 Arzergrande PD"</f>
        <v>Officina Biesse S.n.c. Via Matteotti 24 35020 Arzergrande PD</v>
      </c>
      <c r="P664" t="str">
        <f>"Z2B32174B7: [1340.00€ ]"</f>
        <v>Z2B32174B7: [1340.00€ ]</v>
      </c>
      <c r="Q664" t="str">
        <f>""</f>
        <v/>
      </c>
      <c r="R664" t="str">
        <f>""</f>
        <v/>
      </c>
      <c r="S664" t="str">
        <f>""</f>
        <v/>
      </c>
      <c r="T664" t="str">
        <f>"https://portaletrasparenza.consorziobacchiglione.it/dettagli/attodigara/6942/manutenzione-e-riparazione-mezzo-con-targa-akb005-e-cingolato-904.html"</f>
        <v>https://portaletrasparenza.consorziobacchiglione.it/dettagli/attodigara/6942/manutenzione-e-riparazione-mezzo-con-targa-akb005-e-cingolato-904.html</v>
      </c>
      <c r="U664" t="str">
        <f>"https://portaletrasparenza.consorziobacchiglione.it/download/attodigara/6942/63ac4599a3ecf.PDF"</f>
        <v>https://portaletrasparenza.consorziobacchiglione.it/download/attodigara/6942/63ac4599a3ecf.PDF</v>
      </c>
      <c r="V6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65" spans="1:22" x14ac:dyDescent="0.3">
      <c r="A665" t="str">
        <f>"Affidamento"</f>
        <v>Affidamento</v>
      </c>
      <c r="B665" t="str">
        <f>"Fornitura n.8 radar trasmettitori per vari impianti"</f>
        <v>Fornitura n.8 radar trasmettitori per vari impianti</v>
      </c>
      <c r="C665" t="str">
        <f>"ZD932167CE"</f>
        <v>ZD932167CE</v>
      </c>
      <c r="D665" t="str">
        <f>"15/06/2021"</f>
        <v>15/06/2021</v>
      </c>
      <c r="E665" t="str">
        <f>""</f>
        <v/>
      </c>
      <c r="F665" t="str">
        <f>""</f>
        <v/>
      </c>
      <c r="G665" t="str">
        <f>"6993.74"</f>
        <v>6993.74</v>
      </c>
      <c r="H665" t="str">
        <f>"Consorzio di bonifica Bacchiglione"</f>
        <v>Consorzio di bonifica Bacchiglione</v>
      </c>
      <c r="I665" t="str">
        <f>"92223390284"</f>
        <v>92223390284</v>
      </c>
      <c r="J665" t="str">
        <f>"23-AFFIDAMENTO DIRETTO"</f>
        <v>23-AFFIDAMENTO DIRETTO</v>
      </c>
      <c r="K665" t="str">
        <f>"11/06/2021"</f>
        <v>11/06/2021</v>
      </c>
      <c r="L665" t="str">
        <f>"27/07/2021"</f>
        <v>27/07/2021</v>
      </c>
      <c r="M665" t="str">
        <f>""</f>
        <v/>
      </c>
      <c r="N665" t="str">
        <f>"Endress + Hauser Italia S.p.A. Via Fratelli di Dio 7 20063 Cernusco S-N MI"</f>
        <v>Endress + Hauser Italia S.p.A. Via Fratelli di Dio 7 20063 Cernusco S-N MI</v>
      </c>
      <c r="O665" t="str">
        <f>"Endress + Hauser Italia S.p.A. Via Fratelli di Dio 7 20063 Cernusco S-N MI"</f>
        <v>Endress + Hauser Italia S.p.A. Via Fratelli di Dio 7 20063 Cernusco S-N MI</v>
      </c>
      <c r="P665" t="str">
        <f>"ZD932167CE: [6993.74€ ]"</f>
        <v>ZD932167CE: [6993.74€ ]</v>
      </c>
      <c r="Q665" t="str">
        <f>""</f>
        <v/>
      </c>
      <c r="R665" t="str">
        <f>""</f>
        <v/>
      </c>
      <c r="S665" t="str">
        <f>""</f>
        <v/>
      </c>
      <c r="T665" t="str">
        <f>"https://portaletrasparenza.consorziobacchiglione.it/dettagli/attodigara/6941/fornitura-n-8-radar-trasmettitori-per-vari-impianti.html"</f>
        <v>https://portaletrasparenza.consorziobacchiglione.it/dettagli/attodigara/6941/fornitura-n-8-radar-trasmettitori-per-vari-impianti.html</v>
      </c>
      <c r="U665" t="str">
        <f>"https://portaletrasparenza.consorziobacchiglione.it/download/attodigara/6941/63ac45996b6e0.PDF"</f>
        <v>https://portaletrasparenza.consorziobacchiglione.it/download/attodigara/6941/63ac45996b6e0.PDF</v>
      </c>
      <c r="V6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66" spans="1:22" x14ac:dyDescent="0.3">
      <c r="A666" t="str">
        <f>"Affidamento"</f>
        <v>Affidamento</v>
      </c>
      <c r="B666" t="str">
        <f>"Spostamento escavatore cingolato Kubota 80 q.li da scolo Scarpa ad impianto Bernio"</f>
        <v>Spostamento escavatore cingolato Kubota 80 q.li da scolo Scarpa ad impianto Bernio</v>
      </c>
      <c r="C666" t="str">
        <f>"Z953216625"</f>
        <v>Z953216625</v>
      </c>
      <c r="D666" t="str">
        <f>"15/06/2021"</f>
        <v>15/06/2021</v>
      </c>
      <c r="E666" t="str">
        <f>""</f>
        <v/>
      </c>
      <c r="F666" t="str">
        <f>""</f>
        <v/>
      </c>
      <c r="G666" t="str">
        <f>"180.00"</f>
        <v>180.00</v>
      </c>
      <c r="H666" t="str">
        <f>"Consorzio di bonifica Bacchiglione"</f>
        <v>Consorzio di bonifica Bacchiglione</v>
      </c>
      <c r="I666" t="str">
        <f>"92223390284"</f>
        <v>92223390284</v>
      </c>
      <c r="J666" t="str">
        <f>"23-AFFIDAMENTO DIRETTO"</f>
        <v>23-AFFIDAMENTO DIRETTO</v>
      </c>
      <c r="K666" t="str">
        <f>"11/06/2021"</f>
        <v>11/06/2021</v>
      </c>
      <c r="L666" t="str">
        <f>"30/06/2021"</f>
        <v>30/06/2021</v>
      </c>
      <c r="M666" t="str">
        <f>""</f>
        <v/>
      </c>
      <c r="N666" t="str">
        <f>"Trovò s.r.l. Via Idrovora, 3 - 35020 Codevigo (PD)"</f>
        <v>Trovò s.r.l. Via Idrovora, 3 - 35020 Codevigo (PD)</v>
      </c>
      <c r="O666" t="str">
        <f>"Trovò s.r.l. Via Idrovora, 3 - 35020 Codevigo (PD)"</f>
        <v>Trovò s.r.l. Via Idrovora, 3 - 35020 Codevigo (PD)</v>
      </c>
      <c r="P666" t="str">
        <f>"Z953216625: [180.00€ ]"</f>
        <v>Z953216625: [180.00€ ]</v>
      </c>
      <c r="Q666" t="str">
        <f>""</f>
        <v/>
      </c>
      <c r="R666" t="str">
        <f>""</f>
        <v/>
      </c>
      <c r="S666" t="str">
        <f>""</f>
        <v/>
      </c>
      <c r="T666" t="str">
        <f>"https://portaletrasparenza.consorziobacchiglione.it/dettagli/attodigara/6940/spostamento-escavatore-cingolato-kubota-80-q-li-da-scolo-scarpa-ad-impianto-bernio.html"</f>
        <v>https://portaletrasparenza.consorziobacchiglione.it/dettagli/attodigara/6940/spostamento-escavatore-cingolato-kubota-80-q-li-da-scolo-scarpa-ad-impianto-bernio.html</v>
      </c>
      <c r="U666" t="str">
        <f>"https://portaletrasparenza.consorziobacchiglione.it/download/attodigara/6940/63ac459932b96.PDF"</f>
        <v>https://portaletrasparenza.consorziobacchiglione.it/download/attodigara/6940/63ac459932b96.PDF</v>
      </c>
      <c r="V66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67" spans="1:22" x14ac:dyDescent="0.3">
      <c r="A667" t="str">
        <f>"Affidamento"</f>
        <v>Affidamento</v>
      </c>
      <c r="B667" t="str">
        <f>"Manutenzione ordinaria e straordinaria presso sgrigliatori Idrovora Brondolo, Trezze, Bernio, Fogolana, Vaso Cavaizze"</f>
        <v>Manutenzione ordinaria e straordinaria presso sgrigliatori Idrovora Brondolo, Trezze, Bernio, Fogolana, Vaso Cavaizze</v>
      </c>
      <c r="C667" t="str">
        <f>"Z4D3215C8B"</f>
        <v>Z4D3215C8B</v>
      </c>
      <c r="D667" t="str">
        <f>"24/11/2021"</f>
        <v>24/11/2021</v>
      </c>
      <c r="E667" t="str">
        <f>""</f>
        <v/>
      </c>
      <c r="F667" t="str">
        <f>""</f>
        <v/>
      </c>
      <c r="G667" t="str">
        <f>"23041.00"</f>
        <v>23041.00</v>
      </c>
      <c r="H667" t="str">
        <f>"Consorzio di bonifica Bacchiglione"</f>
        <v>Consorzio di bonifica Bacchiglione</v>
      </c>
      <c r="I667" t="str">
        <f>"92223390284"</f>
        <v>92223390284</v>
      </c>
      <c r="J667" t="str">
        <f>"23-AFFIDAMENTO DIRETTO"</f>
        <v>23-AFFIDAMENTO DIRETTO</v>
      </c>
      <c r="K667" t="str">
        <f>"11/06/2021"</f>
        <v>11/06/2021</v>
      </c>
      <c r="L667" t="str">
        <f>"16/11/2021"</f>
        <v>16/11/2021</v>
      </c>
      <c r="M667" t="str">
        <f>""</f>
        <v/>
      </c>
      <c r="N667" t="str">
        <f>"Officina Biesse S.n.c. Via Matteotti 24 35020 Arzergrande PD"</f>
        <v>Officina Biesse S.n.c. Via Matteotti 24 35020 Arzergrande PD</v>
      </c>
      <c r="O667" t="str">
        <f>"Officina Biesse S.n.c. Via Matteotti 24 35020 Arzergrande PD"</f>
        <v>Officina Biesse S.n.c. Via Matteotti 24 35020 Arzergrande PD</v>
      </c>
      <c r="P667" t="str">
        <f>"Z4D3215C8B: [23041.00€ ]"</f>
        <v>Z4D3215C8B: [23041.00€ ]</v>
      </c>
      <c r="Q667" t="str">
        <f>""</f>
        <v/>
      </c>
      <c r="R667" t="str">
        <f>""</f>
        <v/>
      </c>
      <c r="S667" t="str">
        <f>""</f>
        <v/>
      </c>
      <c r="T667" t="str">
        <f>"https://portaletrasparenza.consorziobacchiglione.it/dettagli/attodigara/6938/manutenzione-ordinaria-e-straordinaria-presso-sgrigliatori-idrovora-brondolo-trezze-bernio-fogolana-vaso-cavaizze.html"</f>
        <v>https://portaletrasparenza.consorziobacchiglione.it/dettagli/attodigara/6938/manutenzione-ordinaria-e-straordinaria-presso-sgrigliatori-idrovora-brondolo-trezze-bernio-fogolana-vaso-cavaizze.html</v>
      </c>
      <c r="U667" t="str">
        <f>"https://portaletrasparenza.consorziobacchiglione.it/download/attodigara/6938/63ac45ef4c87f.PDF"</f>
        <v>https://portaletrasparenza.consorziobacchiglione.it/download/attodigara/6938/63ac45ef4c87f.PDF</v>
      </c>
      <c r="V66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68" spans="1:22" x14ac:dyDescent="0.3">
      <c r="A668" t="str">
        <f>"Affidamento"</f>
        <v>Affidamento</v>
      </c>
      <c r="B668" t="str">
        <f>"Riparazione e manutenzione mezzo con targa: AFW043."</f>
        <v>Riparazione e manutenzione mezzo con targa: AFW043.</v>
      </c>
      <c r="C668" t="str">
        <f>"Z8E1A94D2B"</f>
        <v>Z8E1A94D2B</v>
      </c>
      <c r="D668" t="str">
        <f>"04/11/2021"</f>
        <v>04/11/2021</v>
      </c>
      <c r="E668" t="str">
        <f>""</f>
        <v/>
      </c>
      <c r="F668" t="str">
        <f>""</f>
        <v/>
      </c>
      <c r="G668" t="str">
        <f>"226.00"</f>
        <v>226.00</v>
      </c>
      <c r="H668" t="str">
        <f>"Consorzio di bonifica Bacchiglione"</f>
        <v>Consorzio di bonifica Bacchiglione</v>
      </c>
      <c r="I668" t="str">
        <f>"92223390284"</f>
        <v>92223390284</v>
      </c>
      <c r="J668" t="str">
        <f>"23-AFFIDAMENTO DIRETTO"</f>
        <v>23-AFFIDAMENTO DIRETTO</v>
      </c>
      <c r="K668" t="str">
        <f>"11/07/2021"</f>
        <v>11/07/2021</v>
      </c>
      <c r="L668" t="str">
        <f>"06/09/2021"</f>
        <v>06/09/2021</v>
      </c>
      <c r="M668" t="str">
        <f>""</f>
        <v/>
      </c>
      <c r="N668" t="str">
        <f>"Adriatica Commerciale Macchine s.r.l. Via dell'Artigianato 5 35020 Due Carrare PD"</f>
        <v>Adriatica Commerciale Macchine s.r.l. Via dell'Artigianato 5 35020 Due Carrare PD</v>
      </c>
      <c r="O668" t="str">
        <f>"Adriatica Commerciale Macchine s.r.l. Via dell'Artigianato 5 35020 Due Carrare PD"</f>
        <v>Adriatica Commerciale Macchine s.r.l. Via dell'Artigianato 5 35020 Due Carrare PD</v>
      </c>
      <c r="P668" t="str">
        <f>"Z8E1A94D2B: [226.00€ ]"</f>
        <v>Z8E1A94D2B: [226.00€ ]</v>
      </c>
      <c r="Q668" t="str">
        <f>""</f>
        <v/>
      </c>
      <c r="R668" t="str">
        <f>""</f>
        <v/>
      </c>
      <c r="S668" t="str">
        <f>""</f>
        <v/>
      </c>
      <c r="T668" t="str">
        <f>"https://portaletrasparenza.consorziobacchiglione.it/dettagli/attodigara/580/riparazione-e-manutenzione-mezzo-con-targa-afw043.html"</f>
        <v>https://portaletrasparenza.consorziobacchiglione.it/dettagli/attodigara/580/riparazione-e-manutenzione-mezzo-con-targa-afw043.html</v>
      </c>
      <c r="U668" t="str">
        <f>""</f>
        <v/>
      </c>
      <c r="V6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69" spans="1:22" x14ac:dyDescent="0.3">
      <c r="A669" t="str">
        <f>"Affidamento"</f>
        <v>Affidamento</v>
      </c>
      <c r="B669" t="str">
        <f>"Revisione elettropompa n 2 impianto irriguo via Magarotto e revisione elettropompa Impianto irriguo Scolo Alto."</f>
        <v>Revisione elettropompa n 2 impianto irriguo via Magarotto e revisione elettropompa Impianto irriguo Scolo Alto.</v>
      </c>
      <c r="C669" t="str">
        <f>"ZBD1A94C1C"</f>
        <v>ZBD1A94C1C</v>
      </c>
      <c r="D669" t="str">
        <f>"04/11/2021"</f>
        <v>04/11/2021</v>
      </c>
      <c r="E669" t="str">
        <f>""</f>
        <v/>
      </c>
      <c r="F669" t="str">
        <f>""</f>
        <v/>
      </c>
      <c r="G669" t="str">
        <f>"638.20"</f>
        <v>638.20</v>
      </c>
      <c r="H669" t="str">
        <f>"Consorzio di bonifica Bacchiglione"</f>
        <v>Consorzio di bonifica Bacchiglione</v>
      </c>
      <c r="I669" t="str">
        <f>"92223390284"</f>
        <v>92223390284</v>
      </c>
      <c r="J669" t="str">
        <f>"23-AFFIDAMENTO DIRETTO"</f>
        <v>23-AFFIDAMENTO DIRETTO</v>
      </c>
      <c r="K669" t="str">
        <f>"11/07/2021"</f>
        <v>11/07/2021</v>
      </c>
      <c r="L669" t="str">
        <f>"26/08/2021"</f>
        <v>26/08/2021</v>
      </c>
      <c r="M669" t="str">
        <f>""</f>
        <v/>
      </c>
      <c r="N669" t="str">
        <f>"Xylem Water Solutions Italia S.r.l. Via Gioacchino Rossini 1A 20020 Lainate MI"</f>
        <v>Xylem Water Solutions Italia S.r.l. Via Gioacchino Rossini 1A 20020 Lainate MI</v>
      </c>
      <c r="O669" t="str">
        <f>"Xylem Water Solutions Italia S.r.l. Via Gioacchino Rossini 1A 20020 Lainate MI"</f>
        <v>Xylem Water Solutions Italia S.r.l. Via Gioacchino Rossini 1A 20020 Lainate MI</v>
      </c>
      <c r="P669" t="str">
        <f>"ZBD1A94C1C: [638.20€ ]"</f>
        <v>ZBD1A94C1C: [638.20€ ]</v>
      </c>
      <c r="Q669" t="str">
        <f>""</f>
        <v/>
      </c>
      <c r="R669" t="str">
        <f>""</f>
        <v/>
      </c>
      <c r="S669" t="str">
        <f>""</f>
        <v/>
      </c>
      <c r="T669" t="str">
        <f>"https://portaletrasparenza.consorziobacchiglione.it/dettagli/attodigara/579/revisione-elettropompa-n-2-impianto-irriguo-via-magarotto-e-revisione-elettropompa-impianto-irriguo-scolo-alto.html"</f>
        <v>https://portaletrasparenza.consorziobacchiglione.it/dettagli/attodigara/579/revisione-elettropompa-n-2-impianto-irriguo-via-magarotto-e-revisione-elettropompa-impianto-irriguo-scolo-alto.html</v>
      </c>
      <c r="U669" t="str">
        <f>""</f>
        <v/>
      </c>
      <c r="V66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70" spans="1:22" x14ac:dyDescent="0.3">
      <c r="A670" t="str">
        <f>"Affidamento"</f>
        <v>Affidamento</v>
      </c>
      <c r="B670" t="str">
        <f>"Fornitura armadio Rack 19 per alloggiamento server sede consorziale."</f>
        <v>Fornitura armadio Rack 19 per alloggiamento server sede consorziale.</v>
      </c>
      <c r="C670" t="str">
        <f>"Z1B1A93CE1"</f>
        <v>Z1B1A93CE1</v>
      </c>
      <c r="D670" t="str">
        <f>"04/11/2021"</f>
        <v>04/11/2021</v>
      </c>
      <c r="E670" t="str">
        <f>""</f>
        <v/>
      </c>
      <c r="F670" t="str">
        <f>""</f>
        <v/>
      </c>
      <c r="G670" t="str">
        <f>"955.00"</f>
        <v>955.00</v>
      </c>
      <c r="H670" t="str">
        <f>"Consorzio di bonifica Bacchiglione"</f>
        <v>Consorzio di bonifica Bacchiglione</v>
      </c>
      <c r="I670" t="str">
        <f>"92223390284"</f>
        <v>92223390284</v>
      </c>
      <c r="J670" t="str">
        <f>"23-AFFIDAMENTO DIRETTO"</f>
        <v>23-AFFIDAMENTO DIRETTO</v>
      </c>
      <c r="K670" t="str">
        <f>"11/07/2021"</f>
        <v>11/07/2021</v>
      </c>
      <c r="L670" t="str">
        <f>"08/08/2021"</f>
        <v>08/08/2021</v>
      </c>
      <c r="M670" t="str">
        <f>""</f>
        <v/>
      </c>
      <c r="N670" t="str">
        <f>"TPH Elettronica s.a.s. Via N. Pizzolo 51A 35132 Padova"</f>
        <v>TPH Elettronica s.a.s. Via N. Pizzolo 51A 35132 Padova</v>
      </c>
      <c r="O670" t="str">
        <f>"TPH Elettronica s.a.s. Via N. Pizzolo 51A 35132 Padova"</f>
        <v>TPH Elettronica s.a.s. Via N. Pizzolo 51A 35132 Padova</v>
      </c>
      <c r="P670" t="str">
        <f>"Z1B1A93CE1: [955.00€ ]"</f>
        <v>Z1B1A93CE1: [955.00€ ]</v>
      </c>
      <c r="Q670" t="str">
        <f>""</f>
        <v/>
      </c>
      <c r="R670" t="str">
        <f>""</f>
        <v/>
      </c>
      <c r="S670" t="str">
        <f>""</f>
        <v/>
      </c>
      <c r="T670" t="str">
        <f>"https://portaletrasparenza.consorziobacchiglione.it/dettagli/attodigara/578/fornitura-armadio-rack-19-per-alloggiamento-server-sede-consorziale.html"</f>
        <v>https://portaletrasparenza.consorziobacchiglione.it/dettagli/attodigara/578/fornitura-armadio-rack-19-per-alloggiamento-server-sede-consorziale.html</v>
      </c>
      <c r="U670" t="str">
        <f>""</f>
        <v/>
      </c>
      <c r="V67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71" spans="1:22" x14ac:dyDescent="0.3">
      <c r="A671" t="str">
        <f>"Affidamento"</f>
        <v>Affidamento</v>
      </c>
      <c r="B671" t="str">
        <f>"Fornitura materiale elettrico vario."</f>
        <v>Fornitura materiale elettrico vario.</v>
      </c>
      <c r="C671" t="str">
        <f>"ZA51AEAB1F"</f>
        <v>ZA51AEAB1F</v>
      </c>
      <c r="D671" t="str">
        <f>"04/11/2021"</f>
        <v>04/11/2021</v>
      </c>
      <c r="E671" t="str">
        <f>""</f>
        <v/>
      </c>
      <c r="F671" t="str">
        <f>""</f>
        <v/>
      </c>
      <c r="G671" t="str">
        <f>"303.23"</f>
        <v>303.23</v>
      </c>
      <c r="H671" t="str">
        <f>"Consorzio di bonifica Bacchiglione"</f>
        <v>Consorzio di bonifica Bacchiglione</v>
      </c>
      <c r="I671" t="str">
        <f>"92223390284"</f>
        <v>92223390284</v>
      </c>
      <c r="J671" t="str">
        <f>"23-AFFIDAMENTO DIRETTO"</f>
        <v>23-AFFIDAMENTO DIRETTO</v>
      </c>
      <c r="K671" t="str">
        <f>"11/08/2021"</f>
        <v>11/08/2021</v>
      </c>
      <c r="L671" t="str">
        <f>"05/10/2021"</f>
        <v>05/10/2021</v>
      </c>
      <c r="M671" t="str">
        <f>""</f>
        <v/>
      </c>
      <c r="N671" t="str">
        <f>"Elettroveneta S.p.A. Viale della Navigazione Interna, 48 - 35129 Padova (PD)"</f>
        <v>Elettroveneta S.p.A. Viale della Navigazione Interna, 48 - 35129 Padova (PD)</v>
      </c>
      <c r="O671" t="str">
        <f>"Elettroveneta S.p.A. Viale della Navigazione Interna, 48 - 35129 Padova (PD)"</f>
        <v>Elettroveneta S.p.A. Viale della Navigazione Interna, 48 - 35129 Padova (PD)</v>
      </c>
      <c r="P671" t="str">
        <f>"ZA51AEAB1F: [303.23€ ]"</f>
        <v>ZA51AEAB1F: [303.23€ ]</v>
      </c>
      <c r="Q671" t="str">
        <f>""</f>
        <v/>
      </c>
      <c r="R671" t="str">
        <f>""</f>
        <v/>
      </c>
      <c r="S671" t="str">
        <f>""</f>
        <v/>
      </c>
      <c r="T671" t="str">
        <f>"https://portaletrasparenza.consorziobacchiglione.it/dettagli/attodigara/672/fornitura-materiale-elettrico-vario.html"</f>
        <v>https://portaletrasparenza.consorziobacchiglione.it/dettagli/attodigara/672/fornitura-materiale-elettrico-vario.html</v>
      </c>
      <c r="U671" t="str">
        <f>""</f>
        <v/>
      </c>
      <c r="V67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72" spans="1:22" x14ac:dyDescent="0.3">
      <c r="A672" t="str">
        <f>"Affidamento"</f>
        <v>Affidamento</v>
      </c>
      <c r="B672" t="str">
        <f>"Fornitura n 6 pneumatici per mezzo con targa: DA564ZE"</f>
        <v>Fornitura n 6 pneumatici per mezzo con targa: DA564ZE</v>
      </c>
      <c r="C672" t="str">
        <f>"Z4E1AEA748"</f>
        <v>Z4E1AEA748</v>
      </c>
      <c r="D672" t="str">
        <f>"04/11/2021"</f>
        <v>04/11/2021</v>
      </c>
      <c r="E672" t="str">
        <f>""</f>
        <v/>
      </c>
      <c r="F672" t="str">
        <f>""</f>
        <v/>
      </c>
      <c r="G672" t="str">
        <f>"2535.60"</f>
        <v>2535.60</v>
      </c>
      <c r="H672" t="str">
        <f>"Consorzio di bonifica Bacchiglione"</f>
        <v>Consorzio di bonifica Bacchiglione</v>
      </c>
      <c r="I672" t="str">
        <f>"92223390284"</f>
        <v>92223390284</v>
      </c>
      <c r="J672" t="str">
        <f>"23-AFFIDAMENTO DIRETTO"</f>
        <v>23-AFFIDAMENTO DIRETTO</v>
      </c>
      <c r="K672" t="str">
        <f>"11/08/2021"</f>
        <v>11/08/2021</v>
      </c>
      <c r="L672" t="str">
        <f>"27/10/2021"</f>
        <v>27/10/2021</v>
      </c>
      <c r="M672" t="str">
        <f>""</f>
        <v/>
      </c>
      <c r="N672" t="str">
        <f>"Galesso Roberto Via San Rocco 52B 35028 Piove di Sacco PD"</f>
        <v>Galesso Roberto Via San Rocco 52B 35028 Piove di Sacco PD</v>
      </c>
      <c r="O672" t="str">
        <f>"Galesso Roberto Via San Rocco 52B 35028 Piove di Sacco PD"</f>
        <v>Galesso Roberto Via San Rocco 52B 35028 Piove di Sacco PD</v>
      </c>
      <c r="P672" t="str">
        <f>"Z4E1AEA748: [2535.60€ ]"</f>
        <v>Z4E1AEA748: [2535.60€ ]</v>
      </c>
      <c r="Q672" t="str">
        <f>""</f>
        <v/>
      </c>
      <c r="R672" t="str">
        <f>""</f>
        <v/>
      </c>
      <c r="S672" t="str">
        <f>""</f>
        <v/>
      </c>
      <c r="T672" t="str">
        <f>"https://portaletrasparenza.consorziobacchiglione.it/dettagli/attodigara/670/fornitura-n-6-pneumatici-per-mezzo-con-targa-da564ze.html"</f>
        <v>https://portaletrasparenza.consorziobacchiglione.it/dettagli/attodigara/670/fornitura-n-6-pneumatici-per-mezzo-con-targa-da564ze.html</v>
      </c>
      <c r="U672" t="str">
        <f>""</f>
        <v/>
      </c>
      <c r="V67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73" spans="1:22" x14ac:dyDescent="0.3">
      <c r="A673" t="str">
        <f>"Affidamento"</f>
        <v>Affidamento</v>
      </c>
      <c r="B673" t="str">
        <f>"Fornitura barra paraurti completa su mezzo con targa: AKD221"</f>
        <v>Fornitura barra paraurti completa su mezzo con targa: AKD221</v>
      </c>
      <c r="C673" t="str">
        <f>"Z831AEA6DC"</f>
        <v>Z831AEA6DC</v>
      </c>
      <c r="D673" t="str">
        <f>"04/11/2021"</f>
        <v>04/11/2021</v>
      </c>
      <c r="E673" t="str">
        <f>""</f>
        <v/>
      </c>
      <c r="F673" t="str">
        <f>""</f>
        <v/>
      </c>
      <c r="G673" t="str">
        <f>"392.00"</f>
        <v>392.00</v>
      </c>
      <c r="H673" t="str">
        <f>"Consorzio di bonifica Bacchiglione"</f>
        <v>Consorzio di bonifica Bacchiglione</v>
      </c>
      <c r="I673" t="str">
        <f>"92223390284"</f>
        <v>92223390284</v>
      </c>
      <c r="J673" t="str">
        <f>"23-AFFIDAMENTO DIRETTO"</f>
        <v>23-AFFIDAMENTO DIRETTO</v>
      </c>
      <c r="K673" t="str">
        <f>"11/08/2021"</f>
        <v>11/08/2021</v>
      </c>
      <c r="L673" t="str">
        <f>"27/10/2021"</f>
        <v>27/10/2021</v>
      </c>
      <c r="M673" t="str">
        <f>""</f>
        <v/>
      </c>
      <c r="N673" t="str">
        <f>"Hymach s.r.l. Viale del Commercio 73 45039 Stienta RO"</f>
        <v>Hymach s.r.l. Viale del Commercio 73 45039 Stienta RO</v>
      </c>
      <c r="O673" t="str">
        <f>"Hymach s.r.l. Viale del Commercio 73 45039 Stienta RO"</f>
        <v>Hymach s.r.l. Viale del Commercio 73 45039 Stienta RO</v>
      </c>
      <c r="P673" t="str">
        <f>"Z831AEA6DC: [392.00€ ]"</f>
        <v>Z831AEA6DC: [392.00€ ]</v>
      </c>
      <c r="Q673" t="str">
        <f>""</f>
        <v/>
      </c>
      <c r="R673" t="str">
        <f>""</f>
        <v/>
      </c>
      <c r="S673" t="str">
        <f>""</f>
        <v/>
      </c>
      <c r="T673" t="str">
        <f>"https://portaletrasparenza.consorziobacchiglione.it/dettagli/attodigara/669/fornitura-barra-paraurti-completa-su-mezzo-con-targa-akd221.html"</f>
        <v>https://portaletrasparenza.consorziobacchiglione.it/dettagli/attodigara/669/fornitura-barra-paraurti-completa-su-mezzo-con-targa-akd221.html</v>
      </c>
      <c r="U673" t="str">
        <f>""</f>
        <v/>
      </c>
      <c r="V67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74" spans="1:22" x14ac:dyDescent="0.3">
      <c r="A674" t="str">
        <f>"Affidamento"</f>
        <v>Affidamento</v>
      </c>
      <c r="B674" t="str">
        <f>"Fornitura materiale di ferramenta vario per Bacino Pratiarcati."</f>
        <v>Fornitura materiale di ferramenta vario per Bacino Pratiarcati.</v>
      </c>
      <c r="C674" t="str">
        <f>"Z9D1AEA606"</f>
        <v>Z9D1AEA606</v>
      </c>
      <c r="D674" t="str">
        <f>"04/11/2021"</f>
        <v>04/11/2021</v>
      </c>
      <c r="E674" t="str">
        <f>""</f>
        <v/>
      </c>
      <c r="F674" t="str">
        <f>""</f>
        <v/>
      </c>
      <c r="G674" t="str">
        <f>"1619.16"</f>
        <v>1619.16</v>
      </c>
      <c r="H674" t="str">
        <f>"Consorzio di bonifica Bacchiglione"</f>
        <v>Consorzio di bonifica Bacchiglione</v>
      </c>
      <c r="I674" t="str">
        <f>"92223390284"</f>
        <v>92223390284</v>
      </c>
      <c r="J674" t="str">
        <f>"23-AFFIDAMENTO DIRETTO"</f>
        <v>23-AFFIDAMENTO DIRETTO</v>
      </c>
      <c r="K674" t="str">
        <f>"11/08/2021"</f>
        <v>11/08/2021</v>
      </c>
      <c r="L674" t="str">
        <f>"05/10/2021"</f>
        <v>05/10/2021</v>
      </c>
      <c r="M674" t="str">
        <f>""</f>
        <v/>
      </c>
      <c r="N674" t="str">
        <f>"Erre Emme s.n.c. Via Cavour 27 35020 Casalserugo PD"</f>
        <v>Erre Emme s.n.c. Via Cavour 27 35020 Casalserugo PD</v>
      </c>
      <c r="O674" t="str">
        <f>"Erre Emme s.n.c. Via Cavour 27 35020 Casalserugo PD"</f>
        <v>Erre Emme s.n.c. Via Cavour 27 35020 Casalserugo PD</v>
      </c>
      <c r="P674" t="str">
        <f>"Z9D1AEA606: [1619.16€ ]"</f>
        <v>Z9D1AEA606: [1619.16€ ]</v>
      </c>
      <c r="Q674" t="str">
        <f>""</f>
        <v/>
      </c>
      <c r="R674" t="str">
        <f>""</f>
        <v/>
      </c>
      <c r="S674" t="str">
        <f>""</f>
        <v/>
      </c>
      <c r="T674" t="str">
        <f>"https://portaletrasparenza.consorziobacchiglione.it/dettagli/attodigara/668/fornitura-materiale-di-ferramenta-vario-per-bacino-pratiarcati.html"</f>
        <v>https://portaletrasparenza.consorziobacchiglione.it/dettagli/attodigara/668/fornitura-materiale-di-ferramenta-vario-per-bacino-pratiarcati.html</v>
      </c>
      <c r="U674" t="str">
        <f>""</f>
        <v/>
      </c>
      <c r="V67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75" spans="1:22" x14ac:dyDescent="0.3">
      <c r="A675" t="str">
        <f>"Affidamento"</f>
        <v>Affidamento</v>
      </c>
      <c r="B675" t="str">
        <f>"Sostituzione pneumatico di scorta su mezzo con targa : PDB49360"</f>
        <v>Sostituzione pneumatico di scorta su mezzo con targa : PDB49360</v>
      </c>
      <c r="C675" t="str">
        <f>"Z891AEA87A"</f>
        <v>Z891AEA87A</v>
      </c>
      <c r="D675" t="str">
        <f>"04/11/2021"</f>
        <v>04/11/2021</v>
      </c>
      <c r="E675" t="str">
        <f>""</f>
        <v/>
      </c>
      <c r="F675" t="str">
        <f>""</f>
        <v/>
      </c>
      <c r="G675" t="str">
        <f>"97.30"</f>
        <v>97.30</v>
      </c>
      <c r="H675" t="str">
        <f>"Consorzio di bonifica Bacchiglione"</f>
        <v>Consorzio di bonifica Bacchiglione</v>
      </c>
      <c r="I675" t="str">
        <f>"92223390284"</f>
        <v>92223390284</v>
      </c>
      <c r="J675" t="str">
        <f>"23-AFFIDAMENTO DIRETTO"</f>
        <v>23-AFFIDAMENTO DIRETTO</v>
      </c>
      <c r="K675" t="str">
        <f>"11/08/2021"</f>
        <v>11/08/2021</v>
      </c>
      <c r="L675" t="str">
        <f>"29/09/2021"</f>
        <v>29/09/2021</v>
      </c>
      <c r="M675" t="str">
        <f>""</f>
        <v/>
      </c>
      <c r="N675" t="str">
        <f>"Giacobazzi Gomme Corso Terme 27 35036 Montegrotto Terme PD"</f>
        <v>Giacobazzi Gomme Corso Terme 27 35036 Montegrotto Terme PD</v>
      </c>
      <c r="O675" t="str">
        <f>"Giacobazzi Gomme Corso Terme 27 35036 Montegrotto Terme PD"</f>
        <v>Giacobazzi Gomme Corso Terme 27 35036 Montegrotto Terme PD</v>
      </c>
      <c r="P675" t="str">
        <f>"Z891AEA87A: [97.29€ ]"</f>
        <v>Z891AEA87A: [97.29€ ]</v>
      </c>
      <c r="Q675" t="str">
        <f>""</f>
        <v/>
      </c>
      <c r="R675" t="str">
        <f>""</f>
        <v/>
      </c>
      <c r="S675" t="str">
        <f>""</f>
        <v/>
      </c>
      <c r="T675" t="str">
        <f>"https://portaletrasparenza.consorziobacchiglione.it/dettagli/attodigara/671/sostituzione-pneumatico-di-scorta-su-mezzo-con-targa-pdb49360.html"</f>
        <v>https://portaletrasparenza.consorziobacchiglione.it/dettagli/attodigara/671/sostituzione-pneumatico-di-scorta-su-mezzo-con-targa-pdb49360.html</v>
      </c>
      <c r="U675" t="str">
        <f>""</f>
        <v/>
      </c>
      <c r="V675">
        <f>(SUBSTITUTE(Tabella1[[#This Row],[Importo di aggiudicazione]],".",","))-(SUBSTITUTE(  SUBSTITUTE(          SUBSTITUTE(Tabella1[[#This Row],[Dettaglio somme liquidate]],Tabella1[[#This Row],[CIG]]&amp;": [",""),"€ ]",""),".",","))</f>
        <v>9.9999999999909051E-3</v>
      </c>
    </row>
    <row r="676" spans="1:22" x14ac:dyDescent="0.3">
      <c r="A676" t="str">
        <f>"Affidamento"</f>
        <v>Affidamento</v>
      </c>
      <c r="B676" t="str">
        <f>"Fornitura decespugliatore Husqvarna mod.HVA233RJ per Bacino Pratiarcati"</f>
        <v>Fornitura decespugliatore Husqvarna mod.HVA233RJ per Bacino Pratiarcati</v>
      </c>
      <c r="C676" t="str">
        <f>"ZF232BF9C6"</f>
        <v>ZF232BF9C6</v>
      </c>
      <c r="D676" t="str">
        <f>"11/08/2021"</f>
        <v>11/08/2021</v>
      </c>
      <c r="E676" t="str">
        <f>""</f>
        <v/>
      </c>
      <c r="F676" t="str">
        <f>""</f>
        <v/>
      </c>
      <c r="G676" t="str">
        <f>"320.00"</f>
        <v>320.00</v>
      </c>
      <c r="H676" t="str">
        <f>"Consorzio di bonifica Bacchiglione"</f>
        <v>Consorzio di bonifica Bacchiglione</v>
      </c>
      <c r="I676" t="str">
        <f>"92223390284"</f>
        <v>92223390284</v>
      </c>
      <c r="J676" t="str">
        <f>"23-AFFIDAMENTO DIRETTO"</f>
        <v>23-AFFIDAMENTO DIRETTO</v>
      </c>
      <c r="K676" t="str">
        <f>"11/08/2021"</f>
        <v>11/08/2021</v>
      </c>
      <c r="L676" t="str">
        <f>"08/11/2021"</f>
        <v>08/11/2021</v>
      </c>
      <c r="M676" t="str">
        <f>""</f>
        <v/>
      </c>
      <c r="N676" t="str">
        <f>"Gaiani Rino SAS di Gaiani Annalisa E C.Via Antoniana 102 35011 Campodarsego PD"</f>
        <v>Gaiani Rino SAS di Gaiani Annalisa E C.Via Antoniana 102 35011 Campodarsego PD</v>
      </c>
      <c r="O676" t="str">
        <f>"Gaiani Rino SAS di Gaiani Annalisa E C.Via Antoniana 102 35011 Campodarsego PD"</f>
        <v>Gaiani Rino SAS di Gaiani Annalisa E C.Via Antoniana 102 35011 Campodarsego PD</v>
      </c>
      <c r="P676" t="s">
        <v>288</v>
      </c>
      <c r="Q676" t="str">
        <f>""</f>
        <v/>
      </c>
      <c r="R676" t="str">
        <f>""</f>
        <v/>
      </c>
      <c r="S676" t="str">
        <f>""</f>
        <v/>
      </c>
      <c r="T676" t="str">
        <f>"https://portaletrasparenza.consorziobacchiglione.it/dettagli/attodigara/7069/fornitura-decespugliatore-husqvarna-mod-hva233rj-per-bacino-pratiarcati.html"</f>
        <v>https://portaletrasparenza.consorziobacchiglione.it/dettagli/attodigara/7069/fornitura-decespugliatore-husqvarna-mod-hva233rj-per-bacino-pratiarcati.html</v>
      </c>
      <c r="U676" t="str">
        <f>"https://portaletrasparenza.consorziobacchiglione.it/download/attodigara/7069/63ac45b588e0a.PDF"</f>
        <v>https://portaletrasparenza.consorziobacchiglione.it/download/attodigara/7069/63ac45b588e0a.PDF</v>
      </c>
      <c r="V67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77" spans="1:22" x14ac:dyDescent="0.3">
      <c r="A677" t="str">
        <f>"Affidamento"</f>
        <v>Affidamento</v>
      </c>
      <c r="B677" t="str">
        <f>"Fornitura ricambi per lame barra falciante e decespugliatore presso bacino Sesta Presa e Pratiarcati"</f>
        <v>Fornitura ricambi per lame barra falciante e decespugliatore presso bacino Sesta Presa e Pratiarcati</v>
      </c>
      <c r="C677" t="str">
        <f>"Z2C32BFE41"</f>
        <v>Z2C32BFE41</v>
      </c>
      <c r="D677" t="str">
        <f>"11/08/2021"</f>
        <v>11/08/2021</v>
      </c>
      <c r="E677" t="str">
        <f>""</f>
        <v/>
      </c>
      <c r="F677" t="str">
        <f>""</f>
        <v/>
      </c>
      <c r="G677" t="str">
        <f>"146.50"</f>
        <v>146.50</v>
      </c>
      <c r="H677" t="str">
        <f>"Consorzio di bonifica Bacchiglione"</f>
        <v>Consorzio di bonifica Bacchiglione</v>
      </c>
      <c r="I677" t="str">
        <f>"92223390284"</f>
        <v>92223390284</v>
      </c>
      <c r="J677" t="str">
        <f>"23-AFFIDAMENTO DIRETTO"</f>
        <v>23-AFFIDAMENTO DIRETTO</v>
      </c>
      <c r="K677" t="str">
        <f>"11/08/2021"</f>
        <v>11/08/2021</v>
      </c>
      <c r="L677" t="str">
        <f>"02/09/2021"</f>
        <v>02/09/2021</v>
      </c>
      <c r="M677" t="str">
        <f>""</f>
        <v/>
      </c>
      <c r="N677" t="str">
        <f>"Eredi di Stivanello Sergio S.a.s. Via Padova 156 35025 Cartura PD"</f>
        <v>Eredi di Stivanello Sergio S.a.s. Via Padova 156 35025 Cartura PD</v>
      </c>
      <c r="O677" t="str">
        <f>"Eredi di Stivanello Sergio S.a.s. Via Padova 156 35025 Cartura PD"</f>
        <v>Eredi di Stivanello Sergio S.a.s. Via Padova 156 35025 Cartura PD</v>
      </c>
      <c r="P677" t="str">
        <f>"Z2C32BFE41: [146.50€ ]"</f>
        <v>Z2C32BFE41: [146.50€ ]</v>
      </c>
      <c r="Q677" t="str">
        <f>""</f>
        <v/>
      </c>
      <c r="R677" t="str">
        <f>""</f>
        <v/>
      </c>
      <c r="S677" t="str">
        <f>""</f>
        <v/>
      </c>
      <c r="T677" t="str">
        <f>"https://portaletrasparenza.consorziobacchiglione.it/dettagli/attodigara/7070/fornitura-ricambi-per-lame-barra-falciante-e-decespugliatore-presso-bacino-sesta-presa-e-pratiarcati.html"</f>
        <v>https://portaletrasparenza.consorziobacchiglione.it/dettagli/attodigara/7070/fornitura-ricambi-per-lame-barra-falciante-e-decespugliatore-presso-bacino-sesta-presa-e-pratiarcati.html</v>
      </c>
      <c r="U677" t="str">
        <f>"https://portaletrasparenza.consorziobacchiglione.it/download/attodigara/7070/63ac45b5c1f9e.PDF"</f>
        <v>https://portaletrasparenza.consorziobacchiglione.it/download/attodigara/7070/63ac45b5c1f9e.PDF</v>
      </c>
      <c r="V6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78" spans="1:22" x14ac:dyDescent="0.3">
      <c r="A678" t="str">
        <f>"Affidamento"</f>
        <v>Affidamento</v>
      </c>
      <c r="B678" t="str">
        <f>"Rifacimento attraversamento su scolo Manzoni ricadente su area Demaniale"</f>
        <v>Rifacimento attraversamento su scolo Manzoni ricadente su area Demaniale</v>
      </c>
      <c r="C678" t="str">
        <f>"ZCA32C0781"</f>
        <v>ZCA32C0781</v>
      </c>
      <c r="D678" t="str">
        <f>"14/08/2021"</f>
        <v>14/08/2021</v>
      </c>
      <c r="E678" t="str">
        <f>""</f>
        <v/>
      </c>
      <c r="F678" t="str">
        <f>""</f>
        <v/>
      </c>
      <c r="G678" t="str">
        <f>"10932.33"</f>
        <v>10932.33</v>
      </c>
      <c r="H678" t="str">
        <f>"Consorzio di bonifica Bacchiglione"</f>
        <v>Consorzio di bonifica Bacchiglione</v>
      </c>
      <c r="I678" t="str">
        <f>"92223390284"</f>
        <v>92223390284</v>
      </c>
      <c r="J678" t="str">
        <f>"23-AFFIDAMENTO DIRETTO"</f>
        <v>23-AFFIDAMENTO DIRETTO</v>
      </c>
      <c r="K678" t="str">
        <f>"11/08/2021"</f>
        <v>11/08/2021</v>
      </c>
      <c r="L678" t="str">
        <f>"30/09/2021"</f>
        <v>30/09/2021</v>
      </c>
      <c r="M678" t="str">
        <f>""</f>
        <v/>
      </c>
      <c r="N678" t="str">
        <f>"Ferrara Vittorio Via Frignolo 23C 35020 Conche di Codevigo PD"</f>
        <v>Ferrara Vittorio Via Frignolo 23C 35020 Conche di Codevigo PD</v>
      </c>
      <c r="O678" t="str">
        <f>"Ferrara Vittorio Via Frignolo 23C 35020 Conche di Codevigo PD"</f>
        <v>Ferrara Vittorio Via Frignolo 23C 35020 Conche di Codevigo PD</v>
      </c>
      <c r="P678" t="s">
        <v>167</v>
      </c>
      <c r="Q678" t="str">
        <f>""</f>
        <v/>
      </c>
      <c r="R678" t="str">
        <f>""</f>
        <v/>
      </c>
      <c r="S678" t="str">
        <f>""</f>
        <v/>
      </c>
      <c r="T678" t="str">
        <f>"https://portaletrasparenza.consorziobacchiglione.it/dettagli/attodigara/7072/rifacimento-attraversamento-su-scolo-manzoni-ricadente-su-area-demaniale.html"</f>
        <v>https://portaletrasparenza.consorziobacchiglione.it/dettagli/attodigara/7072/rifacimento-attraversamento-su-scolo-manzoni-ricadente-su-area-demaniale.html</v>
      </c>
      <c r="U678" t="str">
        <f>"https://portaletrasparenza.consorziobacchiglione.it/download/attodigara/7072/63ac45b63f62c.PDF"</f>
        <v>https://portaletrasparenza.consorziobacchiglione.it/download/attodigara/7072/63ac45b63f62c.PDF</v>
      </c>
      <c r="V67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79" spans="1:22" x14ac:dyDescent="0.3">
      <c r="A679" t="str">
        <f>"Affidamento"</f>
        <v>Affidamento</v>
      </c>
      <c r="B679" t="str">
        <f>"Lavori di tinteggiatura dell'atrio e di alcuni uffici presso la sede Consorziale in Via Vascovado 11"</f>
        <v>Lavori di tinteggiatura dell'atrio e di alcuni uffici presso la sede Consorziale in Via Vascovado 11</v>
      </c>
      <c r="C679" t="str">
        <f>"Z2032C03D8"</f>
        <v>Z2032C03D8</v>
      </c>
      <c r="D679" t="str">
        <f>"14/08/2021"</f>
        <v>14/08/2021</v>
      </c>
      <c r="E679" t="str">
        <f>""</f>
        <v/>
      </c>
      <c r="F679" t="str">
        <f>""</f>
        <v/>
      </c>
      <c r="G679" t="str">
        <f>"3646.00"</f>
        <v>3646.00</v>
      </c>
      <c r="H679" t="str">
        <f>"Consorzio di bonifica Bacchiglione"</f>
        <v>Consorzio di bonifica Bacchiglione</v>
      </c>
      <c r="I679" t="str">
        <f>"92223390284"</f>
        <v>92223390284</v>
      </c>
      <c r="J679" t="str">
        <f>"23-AFFIDAMENTO DIRETTO"</f>
        <v>23-AFFIDAMENTO DIRETTO</v>
      </c>
      <c r="K679" t="str">
        <f>"11/08/2021"</f>
        <v>11/08/2021</v>
      </c>
      <c r="L679" t="str">
        <f>"13/09/2021"</f>
        <v>13/09/2021</v>
      </c>
      <c r="M679" t="str">
        <f>""</f>
        <v/>
      </c>
      <c r="N679" t="str">
        <f>"F.lli Drago E C. snc Via Fossetta, 1 Terrassa Padovana (PD)"</f>
        <v>F.lli Drago E C. snc Via Fossetta, 1 Terrassa Padovana (PD)</v>
      </c>
      <c r="O679" t="str">
        <f>"F.lli Drago E C. snc Via Fossetta, 1 Terrassa Padovana (PD)"</f>
        <v>F.lli Drago E C. snc Via Fossetta, 1 Terrassa Padovana (PD)</v>
      </c>
      <c r="P679" t="str">
        <f>"Z2032C03D8: [3646.00€ ]"</f>
        <v>Z2032C03D8: [3646.00€ ]</v>
      </c>
      <c r="Q679" t="str">
        <f>""</f>
        <v/>
      </c>
      <c r="R679" t="str">
        <f>""</f>
        <v/>
      </c>
      <c r="S679" t="str">
        <f>""</f>
        <v/>
      </c>
      <c r="T679" t="str">
        <f>"https://portaletrasparenza.consorziobacchiglione.it/dettagli/attodigara/7071/lavori-di-tinteggiatura-dell-atrio-e-di-alcuni-uffici-presso-la-sede-consorziale-in-via-vascovado-11.html"</f>
        <v>https://portaletrasparenza.consorziobacchiglione.it/dettagli/attodigara/7071/lavori-di-tinteggiatura-dell-atrio-e-di-alcuni-uffici-presso-la-sede-consorziale-in-via-vascovado-11.html</v>
      </c>
      <c r="U679" t="str">
        <f>"https://portaletrasparenza.consorziobacchiglione.it/download/attodigara/7071/63ac45b6067e2.PDF"</f>
        <v>https://portaletrasparenza.consorziobacchiglione.it/download/attodigara/7071/63ac45b6067e2.PDF</v>
      </c>
      <c r="V6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80" spans="1:22" x14ac:dyDescent="0.3">
      <c r="A680" t="str">
        <f>"Affidamento"</f>
        <v>Affidamento</v>
      </c>
      <c r="B680" t="str">
        <f>"Manutenzione e riparazione mezzi con targa: AKS633, AKD221"</f>
        <v>Manutenzione e riparazione mezzi con targa: AKS633, AKD221</v>
      </c>
      <c r="C680" t="str">
        <f>"ZD432BF4A1"</f>
        <v>ZD432BF4A1</v>
      </c>
      <c r="D680" t="str">
        <f>"23/08/2021"</f>
        <v>23/08/2021</v>
      </c>
      <c r="E680" t="str">
        <f>""</f>
        <v/>
      </c>
      <c r="F680" t="str">
        <f>""</f>
        <v/>
      </c>
      <c r="G680" t="str">
        <f>"1367.17"</f>
        <v>1367.17</v>
      </c>
      <c r="H680" t="str">
        <f>"Consorzio di bonifica Bacchiglione"</f>
        <v>Consorzio di bonifica Bacchiglione</v>
      </c>
      <c r="I680" t="str">
        <f>"92223390284"</f>
        <v>92223390284</v>
      </c>
      <c r="J680" t="str">
        <f>"23-AFFIDAMENTO DIRETTO"</f>
        <v>23-AFFIDAMENTO DIRETTO</v>
      </c>
      <c r="K680" t="str">
        <f>"11/08/2021"</f>
        <v>11/08/2021</v>
      </c>
      <c r="L680" t="str">
        <f>"30/09/2021"</f>
        <v>30/09/2021</v>
      </c>
      <c r="M680" t="str">
        <f>""</f>
        <v/>
      </c>
      <c r="N680" t="str">
        <f>"Gaiani Rino SAS di Gaiani Annalisa E C.Via Antoniana 102 35011 Campodarsego PD"</f>
        <v>Gaiani Rino SAS di Gaiani Annalisa E C.Via Antoniana 102 35011 Campodarsego PD</v>
      </c>
      <c r="O680" t="str">
        <f>"Gaiani Rino SAS di Gaiani Annalisa E C.Via Antoniana 102 35011 Campodarsego PD"</f>
        <v>Gaiani Rino SAS di Gaiani Annalisa E C.Via Antoniana 102 35011 Campodarsego PD</v>
      </c>
      <c r="P680" t="s">
        <v>234</v>
      </c>
      <c r="Q680" t="str">
        <f>""</f>
        <v/>
      </c>
      <c r="R680" t="str">
        <f>""</f>
        <v/>
      </c>
      <c r="S680" t="str">
        <f>""</f>
        <v/>
      </c>
      <c r="T680" t="str">
        <f>"https://portaletrasparenza.consorziobacchiglione.it/dettagli/attodigara/7068/manutenzione-e-riparazione-mezzi-con-targa-aks633-akd221.html"</f>
        <v>https://portaletrasparenza.consorziobacchiglione.it/dettagli/attodigara/7068/manutenzione-e-riparazione-mezzi-con-targa-aks633-akd221.html</v>
      </c>
      <c r="U680" t="str">
        <f>"https://portaletrasparenza.consorziobacchiglione.it/download/attodigara/7068/63ac45b6bd391.PDF"</f>
        <v>https://portaletrasparenza.consorziobacchiglione.it/download/attodigara/7068/63ac45b6bd391.PDF</v>
      </c>
      <c r="V68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81" spans="1:22" x14ac:dyDescent="0.3">
      <c r="A681" t="str">
        <f>"Affidamento"</f>
        <v>Affidamento</v>
      </c>
      <c r="B681" t="str">
        <f>"Manutenzione e riparazione mezzo con targa: EP107XC"</f>
        <v>Manutenzione e riparazione mezzo con targa: EP107XC</v>
      </c>
      <c r="C681" t="str">
        <f>"Z9132C09CA"</f>
        <v>Z9132C09CA</v>
      </c>
      <c r="D681" t="str">
        <f>"23/08/2021"</f>
        <v>23/08/2021</v>
      </c>
      <c r="E681" t="str">
        <f>""</f>
        <v/>
      </c>
      <c r="F681" t="str">
        <f>""</f>
        <v/>
      </c>
      <c r="G681" t="str">
        <f>"334.00"</f>
        <v>334.00</v>
      </c>
      <c r="H681" t="str">
        <f>"Consorzio di bonifica Bacchiglione"</f>
        <v>Consorzio di bonifica Bacchiglione</v>
      </c>
      <c r="I681" t="str">
        <f>"92223390284"</f>
        <v>92223390284</v>
      </c>
      <c r="J681" t="str">
        <f>"23-AFFIDAMENTO DIRETTO"</f>
        <v>23-AFFIDAMENTO DIRETTO</v>
      </c>
      <c r="K681" t="str">
        <f>"11/08/2021"</f>
        <v>11/08/2021</v>
      </c>
      <c r="L681" t="str">
        <f>"30/09/2021"</f>
        <v>30/09/2021</v>
      </c>
      <c r="M681" t="str">
        <f>""</f>
        <v/>
      </c>
      <c r="N681" t="str">
        <f>"Officina Autotreni Carraro Franco srl Via Gelsi 79 35028 Piove di Sacco PD"</f>
        <v>Officina Autotreni Carraro Franco srl Via Gelsi 79 35028 Piove di Sacco PD</v>
      </c>
      <c r="O681" t="str">
        <f>"Officina Autotreni Carraro Franco srl Via Gelsi 79 35028 Piove di Sacco PD"</f>
        <v>Officina Autotreni Carraro Franco srl Via Gelsi 79 35028 Piove di Sacco PD</v>
      </c>
      <c r="P681" t="s">
        <v>287</v>
      </c>
      <c r="Q681" t="str">
        <f>""</f>
        <v/>
      </c>
      <c r="R681" t="str">
        <f>""</f>
        <v/>
      </c>
      <c r="S681" t="str">
        <f>""</f>
        <v/>
      </c>
      <c r="T681" t="str">
        <f>"https://portaletrasparenza.consorziobacchiglione.it/dettagli/attodigara/7073/manutenzione-e-riparazione-mezzo-con-targa-ep107xc.html"</f>
        <v>https://portaletrasparenza.consorziobacchiglione.it/dettagli/attodigara/7073/manutenzione-e-riparazione-mezzo-con-targa-ep107xc.html</v>
      </c>
      <c r="U681" t="str">
        <f>"https://portaletrasparenza.consorziobacchiglione.it/download/attodigara/7073/63ac45b701eea.PDF"</f>
        <v>https://portaletrasparenza.consorziobacchiglione.it/download/attodigara/7073/63ac45b701eea.PDF</v>
      </c>
      <c r="V68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82" spans="1:22" x14ac:dyDescent="0.3">
      <c r="A682" t="str">
        <f>"Affidamento"</f>
        <v>Affidamento</v>
      </c>
      <c r="B682" t="str">
        <f>"Manutenzione e riparazione mezzo con targa: DA564ZE"</f>
        <v>Manutenzione e riparazione mezzo con targa: DA564ZE</v>
      </c>
      <c r="C682" t="str">
        <f>"Z703301AFA"</f>
        <v>Z703301AFA</v>
      </c>
      <c r="D682" t="str">
        <f>"13/09/2021"</f>
        <v>13/09/2021</v>
      </c>
      <c r="E682" t="str">
        <f>""</f>
        <v/>
      </c>
      <c r="F682" t="str">
        <f>""</f>
        <v/>
      </c>
      <c r="G682" t="str">
        <f>"1926.90"</f>
        <v>1926.90</v>
      </c>
      <c r="H682" t="str">
        <f>"Consorzio di bonifica Bacchiglione"</f>
        <v>Consorzio di bonifica Bacchiglione</v>
      </c>
      <c r="I682" t="str">
        <f>"92223390284"</f>
        <v>92223390284</v>
      </c>
      <c r="J682" t="str">
        <f>"23-AFFIDAMENTO DIRETTO"</f>
        <v>23-AFFIDAMENTO DIRETTO</v>
      </c>
      <c r="K682" t="str">
        <f>"11/09/2021"</f>
        <v>11/09/2021</v>
      </c>
      <c r="L682" t="str">
        <f>"30/09/2021"</f>
        <v>30/09/2021</v>
      </c>
      <c r="M682" t="str">
        <f>""</f>
        <v/>
      </c>
      <c r="N682" t="str">
        <f>"Officina Autotreni Carraro Franco srl Via Gelsi 79 35028 Piove di Sacco PD"</f>
        <v>Officina Autotreni Carraro Franco srl Via Gelsi 79 35028 Piove di Sacco PD</v>
      </c>
      <c r="O682" t="str">
        <f>"Officina Autotreni Carraro Franco srl Via Gelsi 79 35028 Piove di Sacco PD"</f>
        <v>Officina Autotreni Carraro Franco srl Via Gelsi 79 35028 Piove di Sacco PD</v>
      </c>
      <c r="P682" t="s">
        <v>218</v>
      </c>
      <c r="Q682" t="str">
        <f>""</f>
        <v/>
      </c>
      <c r="R682" t="str">
        <f>""</f>
        <v/>
      </c>
      <c r="S682" t="str">
        <f>""</f>
        <v/>
      </c>
      <c r="T682" t="str">
        <f>"https://portaletrasparenza.consorziobacchiglione.it/dettagli/attodigara/7128/manutenzione-e-riparazione-mezzo-con-targa-da564ze.html"</f>
        <v>https://portaletrasparenza.consorziobacchiglione.it/dettagli/attodigara/7128/manutenzione-e-riparazione-mezzo-con-targa-da564ze.html</v>
      </c>
      <c r="U682" t="str">
        <f>"https://portaletrasparenza.consorziobacchiglione.it/download/attodigara/7128/63ac45c333ddf.PDF"</f>
        <v>https://portaletrasparenza.consorziobacchiglione.it/download/attodigara/7128/63ac45c333ddf.PDF</v>
      </c>
      <c r="V6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83" spans="1:22" x14ac:dyDescent="0.3">
      <c r="A683" t="str">
        <f>"Affidamento"</f>
        <v>Affidamento</v>
      </c>
      <c r="B683" t="str">
        <f>"Fornitura di n.1 valvola motorizzata Compact PRO e n.3 servocomandi Universal Pro per vari Impianti"</f>
        <v>Fornitura di n.1 valvola motorizzata Compact PRO e n.3 servocomandi Universal Pro per vari Impianti</v>
      </c>
      <c r="C683" t="str">
        <f>"ZDB3301B62"</f>
        <v>ZDB3301B62</v>
      </c>
      <c r="D683" t="str">
        <f>"13/09/2021"</f>
        <v>13/09/2021</v>
      </c>
      <c r="E683" t="str">
        <f>""</f>
        <v/>
      </c>
      <c r="F683" t="str">
        <f>""</f>
        <v/>
      </c>
      <c r="G683" t="str">
        <f>"1470.00"</f>
        <v>1470.00</v>
      </c>
      <c r="H683" t="str">
        <f>"Consorzio di bonifica Bacchiglione"</f>
        <v>Consorzio di bonifica Bacchiglione</v>
      </c>
      <c r="I683" t="str">
        <f>"92223390284"</f>
        <v>92223390284</v>
      </c>
      <c r="J683" t="str">
        <f>"23-AFFIDAMENTO DIRETTO"</f>
        <v>23-AFFIDAMENTO DIRETTO</v>
      </c>
      <c r="K683" t="str">
        <f>"11/09/2021"</f>
        <v>11/09/2021</v>
      </c>
      <c r="L683" t="str">
        <f>"30/09/2021"</f>
        <v>30/09/2021</v>
      </c>
      <c r="M683" t="str">
        <f>""</f>
        <v/>
      </c>
      <c r="N683" t="str">
        <f>"Giraldo Impianti SNC di Giraldo Danilo e Silvio Via Flli Cervi 1-II 30010 Campolongo Maggiore VE"</f>
        <v>Giraldo Impianti SNC di Giraldo Danilo e Silvio Via Flli Cervi 1-II 30010 Campolongo Maggiore VE</v>
      </c>
      <c r="O683" t="str">
        <f>"Giraldo Impianti SNC di Giraldo Danilo e Silvio Via Flli Cervi 1-II 30010 Campolongo Maggiore VE"</f>
        <v>Giraldo Impianti SNC di Giraldo Danilo e Silvio Via Flli Cervi 1-II 30010 Campolongo Maggiore VE</v>
      </c>
      <c r="P683" t="s">
        <v>231</v>
      </c>
      <c r="Q683" t="str">
        <f>""</f>
        <v/>
      </c>
      <c r="R683" t="str">
        <f>""</f>
        <v/>
      </c>
      <c r="S683" t="str">
        <f>""</f>
        <v/>
      </c>
      <c r="T683" t="str">
        <f>"https://portaletrasparenza.consorziobacchiglione.it/dettagli/attodigara/7129/fornitura-di-n-1-valvola-motorizzata-compact-pro-e-n-3-servocomandi-universal-pro-per-vari-impianti.html"</f>
        <v>https://portaletrasparenza.consorziobacchiglione.it/dettagli/attodigara/7129/fornitura-di-n-1-valvola-motorizzata-compact-pro-e-n-3-servocomandi-universal-pro-per-vari-impianti.html</v>
      </c>
      <c r="U683" t="str">
        <f>"https://portaletrasparenza.consorziobacchiglione.it/download/attodigara/7129/63ac45c36cac7.PDF"</f>
        <v>https://portaletrasparenza.consorziobacchiglione.it/download/attodigara/7129/63ac45c36cac7.PDF</v>
      </c>
      <c r="V68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84" spans="1:22" x14ac:dyDescent="0.3">
      <c r="A684" t="str">
        <f>"Affidamento"</f>
        <v>Affidamento</v>
      </c>
      <c r="B684" t="str">
        <f>"ID 018-12: NOVENTANA 2 - SOMME IN DIRETTA AMMINISTRAZIONE: Manutenzione straordinaria impianto idrovoro Fornaci - Noventa Padovana. - Processo ID 018-12."</f>
        <v>ID 018-12: NOVENTANA 2 - SOMME IN DIRETTA AMMINISTRAZIONE: Manutenzione straordinaria impianto idrovoro Fornaci - Noventa Padovana. - Processo ID 018-12.</v>
      </c>
      <c r="C684" t="str">
        <f>"ZEB3301CC1"</f>
        <v>ZEB3301CC1</v>
      </c>
      <c r="D684" t="str">
        <f>"21/09/2021"</f>
        <v>21/09/2021</v>
      </c>
      <c r="E684" t="str">
        <f>""</f>
        <v/>
      </c>
      <c r="F684" t="str">
        <f>""</f>
        <v/>
      </c>
      <c r="G684" t="str">
        <f>"8156.22"</f>
        <v>8156.22</v>
      </c>
      <c r="H684" t="str">
        <f>"Consorzio di bonifica Bacchiglione"</f>
        <v>Consorzio di bonifica Bacchiglione</v>
      </c>
      <c r="I684" t="str">
        <f>"92223390284"</f>
        <v>92223390284</v>
      </c>
      <c r="J684" t="str">
        <f>"23-AFFIDAMENTO DIRETTO"</f>
        <v>23-AFFIDAMENTO DIRETTO</v>
      </c>
      <c r="K684" t="str">
        <f>"11/09/2021"</f>
        <v>11/09/2021</v>
      </c>
      <c r="L684" t="str">
        <f>"07/06/2022"</f>
        <v>07/06/2022</v>
      </c>
      <c r="M684" t="str">
        <f>""</f>
        <v/>
      </c>
      <c r="N684" t="str">
        <f>"G.F. SERVICE di Gallo Filippo"</f>
        <v>G.F. SERVICE di Gallo Filippo</v>
      </c>
      <c r="O684" t="str">
        <f>"G.F. SERVICE di Gallo Filippo"</f>
        <v>G.F. SERVICE di Gallo Filippo</v>
      </c>
      <c r="P684" t="str">
        <f>"ZEB3301CC1: [8156.22€ ]"</f>
        <v>ZEB3301CC1: [8156.22€ ]</v>
      </c>
      <c r="Q684" t="str">
        <f>""</f>
        <v/>
      </c>
      <c r="R684" t="str">
        <f>""</f>
        <v/>
      </c>
      <c r="S684" t="str">
        <f>""</f>
        <v/>
      </c>
      <c r="T684" t="str">
        <f>"https://portaletrasparenza.consorziobacchiglione.it/dettagli/attodigara/7127/id-018-12-noventana-2-somme-in-diretta-amministrazione-manutenzione-straordinaria-impianto-idrovoro-fornaci-noventa-padovana-processo-id-018-12.html"</f>
        <v>https://portaletrasparenza.consorziobacchiglione.it/dettagli/attodigara/7127/id-018-12-noventana-2-somme-in-diretta-amministrazione-manutenzione-straordinaria-impianto-idrovoro-fornaci-noventa-padovana-processo-id-018-12.html</v>
      </c>
      <c r="U684" t="str">
        <f>"https://portaletrasparenza.consorziobacchiglione.it/download/attodigara/7127/63ac45c7af286.PDF"</f>
        <v>https://portaletrasparenza.consorziobacchiglione.it/download/attodigara/7127/63ac45c7af286.PDF</v>
      </c>
      <c r="V6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85" spans="1:22" x14ac:dyDescent="0.3">
      <c r="A685" t="str">
        <f>"Affidamento"</f>
        <v>Affidamento</v>
      </c>
      <c r="B685" t="str">
        <f>"Fornitura nuovo software Infinity per sostituzione del software Leica Geo Office 8.4 obsoleto"</f>
        <v>Fornitura nuovo software Infinity per sostituzione del software Leica Geo Office 8.4 obsoleto</v>
      </c>
      <c r="C685" t="str">
        <f>"ZEB3365CE1"</f>
        <v>ZEB3365CE1</v>
      </c>
      <c r="D685" t="str">
        <f>"13/10/2021"</f>
        <v>13/10/2021</v>
      </c>
      <c r="E685" t="str">
        <f>""</f>
        <v/>
      </c>
      <c r="F685" t="str">
        <f>""</f>
        <v/>
      </c>
      <c r="G685" t="str">
        <f>"1462.25"</f>
        <v>1462.25</v>
      </c>
      <c r="H685" t="str">
        <f>"Consorzio di bonifica Bacchiglione"</f>
        <v>Consorzio di bonifica Bacchiglione</v>
      </c>
      <c r="I685" t="str">
        <f>"92223390284"</f>
        <v>92223390284</v>
      </c>
      <c r="J685" t="str">
        <f>"23-AFFIDAMENTO DIRETTO"</f>
        <v>23-AFFIDAMENTO DIRETTO</v>
      </c>
      <c r="K685" t="str">
        <f>"11/10/2021"</f>
        <v>11/10/2021</v>
      </c>
      <c r="L685" t="str">
        <f>"31/03/2022"</f>
        <v>31/03/2022</v>
      </c>
      <c r="M685" t="str">
        <f>""</f>
        <v/>
      </c>
      <c r="N685" t="str">
        <f>"Leica Geosystems S.p.A. Via Codognino 12 26854 Cornegliano Laudense LO"</f>
        <v>Leica Geosystems S.p.A. Via Codognino 12 26854 Cornegliano Laudense LO</v>
      </c>
      <c r="O685" t="str">
        <f>"Leica Geosystems S.p.A. Via Codognino 12 26854 Cornegliano Laudense LO"</f>
        <v>Leica Geosystems S.p.A. Via Codognino 12 26854 Cornegliano Laudense LO</v>
      </c>
      <c r="P685" t="str">
        <f>"ZEB3365CE1: [1462.25€ ]"</f>
        <v>ZEB3365CE1: [1462.25€ ]</v>
      </c>
      <c r="Q685" t="str">
        <f>""</f>
        <v/>
      </c>
      <c r="R685" t="str">
        <f>""</f>
        <v/>
      </c>
      <c r="S685" t="str">
        <f>""</f>
        <v/>
      </c>
      <c r="T685" t="str">
        <f>"https://portaletrasparenza.consorziobacchiglione.it/dettagli/attodigara/7206/fornitura-nuovo-software-infinity-per-sostituzione-del-software-leica-geo-office-8-4-obsoleto.html"</f>
        <v>https://portaletrasparenza.consorziobacchiglione.it/dettagli/attodigara/7206/fornitura-nuovo-software-infinity-per-sostituzione-del-software-leica-geo-office-8-4-obsoleto.html</v>
      </c>
      <c r="U685" t="str">
        <f>"https://portaletrasparenza.consorziobacchiglione.it/download/attodigara/7206/63ac45d8edccb.PDF"</f>
        <v>https://portaletrasparenza.consorziobacchiglione.it/download/attodigara/7206/63ac45d8edccb.PDF</v>
      </c>
      <c r="V6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86" spans="1:22" x14ac:dyDescent="0.3">
      <c r="A686" t="str">
        <f>"Affidamento"</f>
        <v>Affidamento</v>
      </c>
      <c r="B686" t="str">
        <f>"Noleggio miniescavatore cingolato 50-60q per lavori alla Zip scolo Orsaro."</f>
        <v>Noleggio miniescavatore cingolato 50-60q per lavori alla Zip scolo Orsaro.</v>
      </c>
      <c r="C686" t="str">
        <f>"Z161BFB3F1"</f>
        <v>Z161BFB3F1</v>
      </c>
      <c r="D686" t="str">
        <f>"04/11/2021"</f>
        <v>04/11/2021</v>
      </c>
      <c r="E686" t="str">
        <f>""</f>
        <v/>
      </c>
      <c r="F686" t="str">
        <f>""</f>
        <v/>
      </c>
      <c r="G686" t="str">
        <f>"750.00"</f>
        <v>750.00</v>
      </c>
      <c r="H686" t="str">
        <f>"Consorzio di bonifica Bacchiglione"</f>
        <v>Consorzio di bonifica Bacchiglione</v>
      </c>
      <c r="I686" t="str">
        <f>"92223390284"</f>
        <v>92223390284</v>
      </c>
      <c r="J686" t="str">
        <f>"23-AFFIDAMENTO DIRETTO"</f>
        <v>23-AFFIDAMENTO DIRETTO</v>
      </c>
      <c r="K686" t="str">
        <f>"11/11/2021"</f>
        <v>11/11/2021</v>
      </c>
      <c r="L686" t="str">
        <f>"04/01/2021"</f>
        <v>04/01/2021</v>
      </c>
      <c r="M686" t="str">
        <f>""</f>
        <v/>
      </c>
      <c r="N686" t="str">
        <f>"Sorme s.n.c. Via Monache 21 35030 Selvazzano Dentro PD"</f>
        <v>Sorme s.n.c. Via Monache 21 35030 Selvazzano Dentro PD</v>
      </c>
      <c r="O686" t="str">
        <f>"Sorme s.n.c. Via Monache 21 35030 Selvazzano Dentro PD"</f>
        <v>Sorme s.n.c. Via Monache 21 35030 Selvazzano Dentro PD</v>
      </c>
      <c r="P686" t="str">
        <f>"Z161BFB3F1: [750.00€ ]"</f>
        <v>Z161BFB3F1: [750.00€ ]</v>
      </c>
      <c r="Q686" t="str">
        <f>""</f>
        <v/>
      </c>
      <c r="R686" t="str">
        <f>""</f>
        <v/>
      </c>
      <c r="S686" t="str">
        <f>""</f>
        <v/>
      </c>
      <c r="T686" t="str">
        <f>"https://portaletrasparenza.consorziobacchiglione.it/dettagli/attodigara/905/noleggio-miniescavatore-cingolato-50-60q-per-lavori-alla-zip-scolo-orsaro.html"</f>
        <v>https://portaletrasparenza.consorziobacchiglione.it/dettagli/attodigara/905/noleggio-miniescavatore-cingolato-50-60q-per-lavori-alla-zip-scolo-orsaro.html</v>
      </c>
      <c r="U686" t="str">
        <f>""</f>
        <v/>
      </c>
      <c r="V68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87" spans="1:22" x14ac:dyDescent="0.3">
      <c r="A687" t="str">
        <f>"Affidamento"</f>
        <v>Affidamento</v>
      </c>
      <c r="B687" t="str">
        <f>"Manutenzione e riparazione mezzo con targa: AFW043."</f>
        <v>Manutenzione e riparazione mezzo con targa: AFW043.</v>
      </c>
      <c r="C687" t="str">
        <f>"Z0A1BFB2AB"</f>
        <v>Z0A1BFB2AB</v>
      </c>
      <c r="D687" t="str">
        <f>"04/11/2021"</f>
        <v>04/11/2021</v>
      </c>
      <c r="E687" t="str">
        <f>""</f>
        <v/>
      </c>
      <c r="F687" t="str">
        <f>""</f>
        <v/>
      </c>
      <c r="G687" t="str">
        <f>"181.13"</f>
        <v>181.13</v>
      </c>
      <c r="H687" t="str">
        <f>"Consorzio di bonifica Bacchiglione"</f>
        <v>Consorzio di bonifica Bacchiglione</v>
      </c>
      <c r="I687" t="str">
        <f>"92223390284"</f>
        <v>92223390284</v>
      </c>
      <c r="J687" t="str">
        <f>"23-AFFIDAMENTO DIRETTO"</f>
        <v>23-AFFIDAMENTO DIRETTO</v>
      </c>
      <c r="K687" t="str">
        <f>"11/11/2021"</f>
        <v>11/11/2021</v>
      </c>
      <c r="L687" t="str">
        <f>"05/01/2021"</f>
        <v>05/01/2021</v>
      </c>
      <c r="M687" t="str">
        <f>""</f>
        <v/>
      </c>
      <c r="N687" t="str">
        <f>"Autoriparazioni Ravazzolo s.r.l. Via Roma 259a 35030 Montemerlo di Cervarese Santa Croce PD"</f>
        <v>Autoriparazioni Ravazzolo s.r.l. Via Roma 259a 35030 Montemerlo di Cervarese Santa Croce PD</v>
      </c>
      <c r="O687" t="str">
        <f>"Autoriparazioni Ravazzolo s.r.l. Via Roma 259a 35030 Montemerlo di Cervarese Santa Croce PD"</f>
        <v>Autoriparazioni Ravazzolo s.r.l. Via Roma 259a 35030 Montemerlo di Cervarese Santa Croce PD</v>
      </c>
      <c r="P687" t="str">
        <f>"Z0A1BFB2AB: [181.13€ ]"</f>
        <v>Z0A1BFB2AB: [181.13€ ]</v>
      </c>
      <c r="Q687" t="str">
        <f>""</f>
        <v/>
      </c>
      <c r="R687" t="str">
        <f>""</f>
        <v/>
      </c>
      <c r="S687" t="str">
        <f>""</f>
        <v/>
      </c>
      <c r="T687" t="str">
        <f>"https://portaletrasparenza.consorziobacchiglione.it/dettagli/attodigara/904/manutenzione-e-riparazione-mezzo-con-targa-afw043.html"</f>
        <v>https://portaletrasparenza.consorziobacchiglione.it/dettagli/attodigara/904/manutenzione-e-riparazione-mezzo-con-targa-afw043.html</v>
      </c>
      <c r="U687" t="str">
        <f>""</f>
        <v/>
      </c>
      <c r="V6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88" spans="1:22" x14ac:dyDescent="0.3">
      <c r="A688" t="str">
        <f>"Affidamento"</f>
        <v>Affidamento</v>
      </c>
      <c r="B688" t="str">
        <f>"Fornitura due travi per tenditura cavi elettropompe Impianto Irriguo Magarotto Limena."</f>
        <v>Fornitura due travi per tenditura cavi elettropompe Impianto Irriguo Magarotto Limena.</v>
      </c>
      <c r="C688" t="str">
        <f>"ZB31BFB02D"</f>
        <v>ZB31BFB02D</v>
      </c>
      <c r="D688" t="str">
        <f>"04/11/2021"</f>
        <v>04/11/2021</v>
      </c>
      <c r="E688" t="str">
        <f>""</f>
        <v/>
      </c>
      <c r="F688" t="str">
        <f>""</f>
        <v/>
      </c>
      <c r="G688" t="str">
        <f>"332.73"</f>
        <v>332.73</v>
      </c>
      <c r="H688" t="str">
        <f>"Consorzio di bonifica Bacchiglione"</f>
        <v>Consorzio di bonifica Bacchiglione</v>
      </c>
      <c r="I688" t="str">
        <f>"92223390284"</f>
        <v>92223390284</v>
      </c>
      <c r="J688" t="str">
        <f>"23-AFFIDAMENTO DIRETTO"</f>
        <v>23-AFFIDAMENTO DIRETTO</v>
      </c>
      <c r="K688" t="str">
        <f>"11/11/2021"</f>
        <v>11/11/2021</v>
      </c>
      <c r="L688" t="str">
        <f>"04/01/2021"</f>
        <v>04/01/2021</v>
      </c>
      <c r="M688" t="str">
        <f>""</f>
        <v/>
      </c>
      <c r="N688" t="str">
        <f>"Convento Claudio Via III^ Strada 3 Z.A. 30010 Campolongo Maggiore VE"</f>
        <v>Convento Claudio Via III^ Strada 3 Z.A. 30010 Campolongo Maggiore VE</v>
      </c>
      <c r="O688" t="str">
        <f>"Convento Claudio Via III^ Strada 3 Z.A. 30010 Campolongo Maggiore VE"</f>
        <v>Convento Claudio Via III^ Strada 3 Z.A. 30010 Campolongo Maggiore VE</v>
      </c>
      <c r="P688" t="str">
        <f>"ZB31BFB02D: [300.00€ ]"</f>
        <v>ZB31BFB02D: [300.00€ ]</v>
      </c>
      <c r="Q688" t="str">
        <f>""</f>
        <v/>
      </c>
      <c r="R688" t="str">
        <f>""</f>
        <v/>
      </c>
      <c r="S688" t="str">
        <f>""</f>
        <v/>
      </c>
      <c r="T688" t="str">
        <f>"https://portaletrasparenza.consorziobacchiglione.it/dettagli/attodigara/903/fornitura-due-travi-per-tenditura-cavi-elettropompe-impianto-irriguo-magarotto-limena.html"</f>
        <v>https://portaletrasparenza.consorziobacchiglione.it/dettagli/attodigara/903/fornitura-due-travi-per-tenditura-cavi-elettropompe-impianto-irriguo-magarotto-limena.html</v>
      </c>
      <c r="U688" t="str">
        <f>""</f>
        <v/>
      </c>
      <c r="V688">
        <f>(SUBSTITUTE(Tabella1[[#This Row],[Importo di aggiudicazione]],".",","))-(SUBSTITUTE(  SUBSTITUTE(          SUBSTITUTE(Tabella1[[#This Row],[Dettaglio somme liquidate]],Tabella1[[#This Row],[CIG]]&amp;": [",""),"€ ]",""),".",","))</f>
        <v>32.730000000000018</v>
      </c>
    </row>
    <row r="689" spans="1:22" x14ac:dyDescent="0.3">
      <c r="A689" t="str">
        <f>"Affidamento"</f>
        <v>Affidamento</v>
      </c>
      <c r="B689" t="str">
        <f>"Manutenzione e riparazione mezzi con targa: AKB005, AKB015, AKV813, PDAH521, motobarca n.1"</f>
        <v>Manutenzione e riparazione mezzi con targa: AKB005, AKB015, AKV813, PDAH521, motobarca n.1</v>
      </c>
      <c r="C689" t="str">
        <f>"Z7233DD198"</f>
        <v>Z7233DD198</v>
      </c>
      <c r="D689" t="str">
        <f>"11/11/2021"</f>
        <v>11/11/2021</v>
      </c>
      <c r="E689" t="str">
        <f>""</f>
        <v/>
      </c>
      <c r="F689" t="str">
        <f>""</f>
        <v/>
      </c>
      <c r="G689" t="str">
        <f>"6191.53"</f>
        <v>6191.53</v>
      </c>
      <c r="H689" t="str">
        <f>"Consorzio di bonifica Bacchiglione"</f>
        <v>Consorzio di bonifica Bacchiglione</v>
      </c>
      <c r="I689" t="str">
        <f>"92223390284"</f>
        <v>92223390284</v>
      </c>
      <c r="J689" t="str">
        <f>"23-AFFIDAMENTO DIRETTO"</f>
        <v>23-AFFIDAMENTO DIRETTO</v>
      </c>
      <c r="K689" t="str">
        <f>"11/11/2021"</f>
        <v>11/11/2021</v>
      </c>
      <c r="L689" t="str">
        <f>"25/11/2021"</f>
        <v>25/11/2021</v>
      </c>
      <c r="M689" t="str">
        <f>""</f>
        <v/>
      </c>
      <c r="N689" t="str">
        <f>"Officina Biesse S.n.c. Via Matteotti 24 35020 Arzergrande PD"</f>
        <v>Officina Biesse S.n.c. Via Matteotti 24 35020 Arzergrande PD</v>
      </c>
      <c r="O689" t="str">
        <f>"Officina Biesse S.n.c. Via Matteotti 24 35020 Arzergrande PD"</f>
        <v>Officina Biesse S.n.c. Via Matteotti 24 35020 Arzergrande PD</v>
      </c>
      <c r="P689" t="s">
        <v>369</v>
      </c>
      <c r="Q689" t="str">
        <f>""</f>
        <v/>
      </c>
      <c r="R689" t="str">
        <f>""</f>
        <v/>
      </c>
      <c r="S689" t="str">
        <f>""</f>
        <v/>
      </c>
      <c r="T689" t="str">
        <f>"https://portaletrasparenza.consorziobacchiglione.it/dettagli/attodigara/7273/manutenzione-e-riparazione-mezzi-con-targa-akb005-akb015-akv813-pdah521-motobarca-n-1.html"</f>
        <v>https://portaletrasparenza.consorziobacchiglione.it/dettagli/attodigara/7273/manutenzione-e-riparazione-mezzi-con-targa-akb005-akb015-akv813-pdah521-motobarca-n-1.html</v>
      </c>
      <c r="U689" t="str">
        <f>"https://portaletrasparenza.consorziobacchiglione.it/download/attodigara/7273/63ac45e753f64.PDF"</f>
        <v>https://portaletrasparenza.consorziobacchiglione.it/download/attodigara/7273/63ac45e753f64.PDF</v>
      </c>
      <c r="V6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90" spans="1:22" x14ac:dyDescent="0.3">
      <c r="A690" t="str">
        <f>"Affidamento"</f>
        <v>Affidamento</v>
      </c>
      <c r="B690" t="str">
        <f>"Rinnovo fornitura biennale del servizio DocFly per la Conservazione Sostitutiva"</f>
        <v>Rinnovo fornitura biennale del servizio DocFly per la Conservazione Sostitutiva</v>
      </c>
      <c r="C690" t="str">
        <f>"Z0533DD492"</f>
        <v>Z0533DD492</v>
      </c>
      <c r="D690" t="str">
        <f>"11/11/2021"</f>
        <v>11/11/2021</v>
      </c>
      <c r="E690" t="str">
        <f>""</f>
        <v/>
      </c>
      <c r="F690" t="str">
        <f>""</f>
        <v/>
      </c>
      <c r="G690" t="str">
        <f>"1180.00"</f>
        <v>1180.00</v>
      </c>
      <c r="H690" t="str">
        <f>"Consorzio di bonifica Bacchiglione"</f>
        <v>Consorzio di bonifica Bacchiglione</v>
      </c>
      <c r="I690" t="str">
        <f>"92223390284"</f>
        <v>92223390284</v>
      </c>
      <c r="J690" t="str">
        <f>"23-AFFIDAMENTO DIRETTO"</f>
        <v>23-AFFIDAMENTO DIRETTO</v>
      </c>
      <c r="K690" t="str">
        <f>"11/11/2021"</f>
        <v>11/11/2021</v>
      </c>
      <c r="L690" t="str">
        <f>"21/12/2021"</f>
        <v>21/12/2021</v>
      </c>
      <c r="M690" t="str">
        <f>""</f>
        <v/>
      </c>
      <c r="N690" t="str">
        <f>"Aruba PEC S.p.A. Via San Clemente, 53 24036 Ponte San Pietro (BG)"</f>
        <v>Aruba PEC S.p.A. Via San Clemente, 53 24036 Ponte San Pietro (BG)</v>
      </c>
      <c r="O690" t="str">
        <f>"Aruba PEC S.p.A. Via San Clemente, 53 24036 Ponte San Pietro (BG)"</f>
        <v>Aruba PEC S.p.A. Via San Clemente, 53 24036 Ponte San Pietro (BG)</v>
      </c>
      <c r="P690" t="str">
        <f>"Z0533DD492: [1180.00€ ]"</f>
        <v>Z0533DD492: [1180.00€ ]</v>
      </c>
      <c r="Q690" t="str">
        <f>""</f>
        <v/>
      </c>
      <c r="R690" t="str">
        <f>""</f>
        <v/>
      </c>
      <c r="S690" t="str">
        <f>""</f>
        <v/>
      </c>
      <c r="T690" t="str">
        <f>"https://portaletrasparenza.consorziobacchiglione.it/dettagli/attodigara/7274/rinnovo-fornitura-biennale-del-servizio-docfly-per-la-conservazione-sostitutiva.html"</f>
        <v>https://portaletrasparenza.consorziobacchiglione.it/dettagli/attodigara/7274/rinnovo-fornitura-biennale-del-servizio-docfly-per-la-conservazione-sostitutiva.html</v>
      </c>
      <c r="U690" t="str">
        <f>"https://portaletrasparenza.consorziobacchiglione.it/download/attodigara/7274/63ac45e78cb9e.PDF"</f>
        <v>https://portaletrasparenza.consorziobacchiglione.it/download/attodigara/7274/63ac45e78cb9e.PDF</v>
      </c>
      <c r="V6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91" spans="1:22" x14ac:dyDescent="0.3">
      <c r="A691" t="str">
        <f>"Affidamento"</f>
        <v>Affidamento</v>
      </c>
      <c r="B691" t="str">
        <f>"Trasporto escavatore cingolato Hitachi 240 da scolo Piovego a scolo Menona"</f>
        <v>Trasporto escavatore cingolato Hitachi 240 da scolo Piovego a scolo Menona</v>
      </c>
      <c r="C691" t="str">
        <f>"Z5233DC9F3"</f>
        <v>Z5233DC9F3</v>
      </c>
      <c r="D691" t="str">
        <f>"11/11/2021"</f>
        <v>11/11/2021</v>
      </c>
      <c r="E691" t="str">
        <f>""</f>
        <v/>
      </c>
      <c r="F691" t="str">
        <f>""</f>
        <v/>
      </c>
      <c r="G691" t="str">
        <f>"270.00"</f>
        <v>270.00</v>
      </c>
      <c r="H691" t="str">
        <f>"Consorzio di bonifica Bacchiglione"</f>
        <v>Consorzio di bonifica Bacchiglione</v>
      </c>
      <c r="I691" t="str">
        <f>"92223390284"</f>
        <v>92223390284</v>
      </c>
      <c r="J691" t="str">
        <f>"23-AFFIDAMENTO DIRETTO"</f>
        <v>23-AFFIDAMENTO DIRETTO</v>
      </c>
      <c r="K691" t="str">
        <f>"11/11/2021"</f>
        <v>11/11/2021</v>
      </c>
      <c r="L691" t="str">
        <f>"19/11/2021"</f>
        <v>19/11/2021</v>
      </c>
      <c r="M691" t="str">
        <f>""</f>
        <v/>
      </c>
      <c r="N691" t="str">
        <f>"Trovò s.r.l. Via Idrovora, 3 - 35020 Codevigo (PD)"</f>
        <v>Trovò s.r.l. Via Idrovora, 3 - 35020 Codevigo (PD)</v>
      </c>
      <c r="O691" t="str">
        <f>"Trovò s.r.l. Via Idrovora, 3 - 35020 Codevigo (PD)"</f>
        <v>Trovò s.r.l. Via Idrovora, 3 - 35020 Codevigo (PD)</v>
      </c>
      <c r="P691" t="str">
        <f>"Z5233DC9F3: [270.00€ ]"</f>
        <v>Z5233DC9F3: [270.00€ ]</v>
      </c>
      <c r="Q691" t="str">
        <f>""</f>
        <v/>
      </c>
      <c r="R691" t="str">
        <f>""</f>
        <v/>
      </c>
      <c r="S691" t="str">
        <f>""</f>
        <v/>
      </c>
      <c r="T691" t="str">
        <f>"https://portaletrasparenza.consorziobacchiglione.it/dettagli/attodigara/7272/trasporto-escavatore-cingolato-hitachi-240-da-scolo-piovego-a-scolo-menona.html"</f>
        <v>https://portaletrasparenza.consorziobacchiglione.it/dettagli/attodigara/7272/trasporto-escavatore-cingolato-hitachi-240-da-scolo-piovego-a-scolo-menona.html</v>
      </c>
      <c r="U691" t="str">
        <f>"https://portaletrasparenza.consorziobacchiglione.it/download/attodigara/7272/63ac45e71b334.PDF"</f>
        <v>https://portaletrasparenza.consorziobacchiglione.it/download/attodigara/7272/63ac45e71b334.PDF</v>
      </c>
      <c r="V6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92" spans="1:22" x14ac:dyDescent="0.3">
      <c r="A692" t="str">
        <f>"Affidamento"</f>
        <v>Affidamento</v>
      </c>
      <c r="B692" t="str">
        <f>"Fornitura nuova batteria per motopompa J6 250 TWG"</f>
        <v>Fornitura nuova batteria per motopompa J6 250 TWG</v>
      </c>
      <c r="C692" t="str">
        <f>"ZC733DC826"</f>
        <v>ZC733DC826</v>
      </c>
      <c r="D692" t="str">
        <f>"11/11/2021"</f>
        <v>11/11/2021</v>
      </c>
      <c r="E692" t="str">
        <f>""</f>
        <v/>
      </c>
      <c r="F692" t="str">
        <f>""</f>
        <v/>
      </c>
      <c r="G692" t="str">
        <f>"90.00"</f>
        <v>90.00</v>
      </c>
      <c r="H692" t="str">
        <f>"Consorzio di bonifica Bacchiglione"</f>
        <v>Consorzio di bonifica Bacchiglione</v>
      </c>
      <c r="I692" t="str">
        <f>"92223390284"</f>
        <v>92223390284</v>
      </c>
      <c r="J692" t="str">
        <f>"23-AFFIDAMENTO DIRETTO"</f>
        <v>23-AFFIDAMENTO DIRETTO</v>
      </c>
      <c r="K692" t="str">
        <f>"11/11/2021"</f>
        <v>11/11/2021</v>
      </c>
      <c r="L692" t="str">
        <f>"31/12/2021"</f>
        <v>31/12/2021</v>
      </c>
      <c r="M692" t="str">
        <f>""</f>
        <v/>
      </c>
      <c r="N692" t="str">
        <f>"Vise Elettrocar Via Montagnon 61 35028 Tognana di Piove di Sacco PD"</f>
        <v>Vise Elettrocar Via Montagnon 61 35028 Tognana di Piove di Sacco PD</v>
      </c>
      <c r="O692" t="str">
        <f>"Vise Elettrocar Via Montagnon 61 35028 Tognana di Piove di Sacco PD"</f>
        <v>Vise Elettrocar Via Montagnon 61 35028 Tognana di Piove di Sacco PD</v>
      </c>
      <c r="P692" t="str">
        <f>"ZC733DC826: [0.00€ ]"</f>
        <v>ZC733DC826: [0.00€ ]</v>
      </c>
      <c r="Q692" t="str">
        <f>""</f>
        <v/>
      </c>
      <c r="R692" t="str">
        <f>""</f>
        <v/>
      </c>
      <c r="S692" t="str">
        <f>""</f>
        <v/>
      </c>
      <c r="T692" t="str">
        <f>"https://portaletrasparenza.consorziobacchiglione.it/dettagli/attodigara/7271/fornitura-nuova-batteria-per-motopompa-j6-250-twg.html"</f>
        <v>https://portaletrasparenza.consorziobacchiglione.it/dettagli/attodigara/7271/fornitura-nuova-batteria-per-motopompa-j6-250-twg.html</v>
      </c>
      <c r="U692" t="str">
        <f>"https://portaletrasparenza.consorziobacchiglione.it/download/attodigara/7271/62a210b664164.PDF"</f>
        <v>https://portaletrasparenza.consorziobacchiglione.it/download/attodigara/7271/62a210b664164.PDF</v>
      </c>
      <c r="V692">
        <f>(SUBSTITUTE(Tabella1[[#This Row],[Importo di aggiudicazione]],".",","))-(SUBSTITUTE(  SUBSTITUTE(          SUBSTITUTE(Tabella1[[#This Row],[Dettaglio somme liquidate]],Tabella1[[#This Row],[CIG]]&amp;": [",""),"€ ]",""),".",","))</f>
        <v>90</v>
      </c>
    </row>
    <row r="693" spans="1:22" x14ac:dyDescent="0.3">
      <c r="A693" t="str">
        <f>"Affidamento"</f>
        <v>Affidamento</v>
      </c>
      <c r="B693" t="str">
        <f>"Servizio per la redazione Piano Monitoraggio Ambientale (PMA) e affiancamento alla D.L. per gli aspetti ambientali. - Processo ID 009-08."</f>
        <v>Servizio per la redazione Piano Monitoraggio Ambientale (PMA) e affiancamento alla D.L. per gli aspetti ambientali. - Processo ID 009-08.</v>
      </c>
      <c r="C693" t="str">
        <f>"Z0133DF2DE"</f>
        <v>Z0133DF2DE</v>
      </c>
      <c r="D693" t="str">
        <f>"12/11/2021"</f>
        <v>12/11/2021</v>
      </c>
      <c r="E693" t="str">
        <f>""</f>
        <v/>
      </c>
      <c r="F693" t="str">
        <f>""</f>
        <v/>
      </c>
      <c r="G693" t="str">
        <f>"6120.00"</f>
        <v>6120.00</v>
      </c>
      <c r="H693" t="str">
        <f>"Consorzio di bonifica Bacchiglione"</f>
        <v>Consorzio di bonifica Bacchiglione</v>
      </c>
      <c r="I693" t="str">
        <f>"92223390284"</f>
        <v>92223390284</v>
      </c>
      <c r="J693" t="str">
        <f>"23-AFFIDAMENTO DIRETTO"</f>
        <v>23-AFFIDAMENTO DIRETTO</v>
      </c>
      <c r="K693" t="str">
        <f>"11/11/2021"</f>
        <v>11/11/2021</v>
      </c>
      <c r="L693" t="str">
        <f>"31/12/2021"</f>
        <v>31/12/2021</v>
      </c>
      <c r="M693" t="str">
        <f>""</f>
        <v/>
      </c>
      <c r="N693" t="str">
        <f>"Arcadia di Michele Marchesin"</f>
        <v>Arcadia di Michele Marchesin</v>
      </c>
      <c r="O693" t="str">
        <f>"Arcadia di Michele Marchesin"</f>
        <v>Arcadia di Michele Marchesin</v>
      </c>
      <c r="P693" t="str">
        <f>"Z0133DF2DE: [0.00€ ]"</f>
        <v>Z0133DF2DE: [0.00€ ]</v>
      </c>
      <c r="Q693" t="str">
        <f>""</f>
        <v/>
      </c>
      <c r="R693" t="str">
        <f>""</f>
        <v/>
      </c>
      <c r="S693" t="str">
        <f>""</f>
        <v/>
      </c>
      <c r="T693" t="str">
        <f>"https://portaletrasparenza.consorziobacchiglione.it/dettagli/attodigara/7270/servizio-per-la-redazione-piano-monitoraggio-ambientale-pma-e-affiancamento-alla-d-l-per-gli-aspetti-ambientali-processo-id-009-08.html"</f>
        <v>https://portaletrasparenza.consorziobacchiglione.it/dettagli/attodigara/7270/servizio-per-la-redazione-piano-monitoraggio-ambientale-pma-e-affiancamento-alla-d-l-per-gli-aspetti-ambientali-processo-id-009-08.html</v>
      </c>
      <c r="U693" t="str">
        <f>"https://portaletrasparenza.consorziobacchiglione.it/download/attodigara/7270/62a210b973ac7.PDF"</f>
        <v>https://portaletrasparenza.consorziobacchiglione.it/download/attodigara/7270/62a210b973ac7.PDF</v>
      </c>
      <c r="V693">
        <f>(SUBSTITUTE(Tabella1[[#This Row],[Importo di aggiudicazione]],".",","))-(SUBSTITUTE(  SUBSTITUTE(          SUBSTITUTE(Tabella1[[#This Row],[Dettaglio somme liquidate]],Tabella1[[#This Row],[CIG]]&amp;": [",""),"€ ]",""),".",","))</f>
        <v>6120</v>
      </c>
    </row>
    <row r="694" spans="1:22" x14ac:dyDescent="0.3">
      <c r="A694" t="str">
        <f>"Affidamento"</f>
        <v>Affidamento</v>
      </c>
      <c r="B694" t="str">
        <f>"Riparazione e manutenzione G.E. presso Idrovora Pratiarcati"</f>
        <v>Riparazione e manutenzione G.E. presso Idrovora Pratiarcati</v>
      </c>
      <c r="C694" t="str">
        <f>"Z5F33DF898"</f>
        <v>Z5F33DF898</v>
      </c>
      <c r="D694" t="str">
        <f>"15/11/2021"</f>
        <v>15/11/2021</v>
      </c>
      <c r="E694" t="str">
        <f>""</f>
        <v/>
      </c>
      <c r="F694" t="str">
        <f>""</f>
        <v/>
      </c>
      <c r="G694" t="str">
        <f>"1670.00"</f>
        <v>1670.00</v>
      </c>
      <c r="H694" t="str">
        <f>"Consorzio di bonifica Bacchiglione"</f>
        <v>Consorzio di bonifica Bacchiglione</v>
      </c>
      <c r="I694" t="str">
        <f>"92223390284"</f>
        <v>92223390284</v>
      </c>
      <c r="J694" t="str">
        <f>"23-AFFIDAMENTO DIRETTO"</f>
        <v>23-AFFIDAMENTO DIRETTO</v>
      </c>
      <c r="K694" t="str">
        <f>"11/11/2021"</f>
        <v>11/11/2021</v>
      </c>
      <c r="L694" t="str">
        <f>"18/02/2022"</f>
        <v>18/02/2022</v>
      </c>
      <c r="M694" t="str">
        <f>""</f>
        <v/>
      </c>
      <c r="N694" t="str">
        <f>"Italmotori S.r.l. Corso Milano 83 35139 Padova"</f>
        <v>Italmotori S.r.l. Corso Milano 83 35139 Padova</v>
      </c>
      <c r="O694" t="str">
        <f>"Italmotori S.r.l. Corso Milano 83 35139 Padova"</f>
        <v>Italmotori S.r.l. Corso Milano 83 35139 Padova</v>
      </c>
      <c r="P694" t="str">
        <f>"Z5F33DF898: [1670.00€ ]"</f>
        <v>Z5F33DF898: [1670.00€ ]</v>
      </c>
      <c r="Q694" t="str">
        <f>""</f>
        <v/>
      </c>
      <c r="R694" t="str">
        <f>""</f>
        <v/>
      </c>
      <c r="S694" t="str">
        <f>""</f>
        <v/>
      </c>
      <c r="T694" t="str">
        <f>"https://portaletrasparenza.consorziobacchiglione.it/dettagli/attodigara/7278/riparazione-e-manutenzione-g-e-presso-idrovora-pratiarcati.html"</f>
        <v>https://portaletrasparenza.consorziobacchiglione.it/dettagli/attodigara/7278/riparazione-e-manutenzione-g-e-presso-idrovora-pratiarcati.html</v>
      </c>
      <c r="U694" t="str">
        <f>"https://portaletrasparenza.consorziobacchiglione.it/download/attodigara/7278/63ac45e975033.PDF"</f>
        <v>https://portaletrasparenza.consorziobacchiglione.it/download/attodigara/7278/63ac45e975033.PDF</v>
      </c>
      <c r="V69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95" spans="1:22" x14ac:dyDescent="0.3">
      <c r="A695" t="str">
        <f>"Affidamento"</f>
        <v>Affidamento</v>
      </c>
      <c r="B695" t="str">
        <f>"Installazione pompa n.1 riparata presso Impianto Valcittadella"</f>
        <v>Installazione pompa n.1 riparata presso Impianto Valcittadella</v>
      </c>
      <c r="C695" t="str">
        <f>"Z3E33DF690"</f>
        <v>Z3E33DF690</v>
      </c>
      <c r="D695" t="str">
        <f>"15/11/2021"</f>
        <v>15/11/2021</v>
      </c>
      <c r="E695" t="str">
        <f>""</f>
        <v/>
      </c>
      <c r="F695" t="str">
        <f>""</f>
        <v/>
      </c>
      <c r="G695" t="str">
        <f>"1830.00"</f>
        <v>1830.00</v>
      </c>
      <c r="H695" t="str">
        <f>"Consorzio di bonifica Bacchiglione"</f>
        <v>Consorzio di bonifica Bacchiglione</v>
      </c>
      <c r="I695" t="str">
        <f>"92223390284"</f>
        <v>92223390284</v>
      </c>
      <c r="J695" t="str">
        <f>"23-AFFIDAMENTO DIRETTO"</f>
        <v>23-AFFIDAMENTO DIRETTO</v>
      </c>
      <c r="K695" t="str">
        <f>"11/11/2021"</f>
        <v>11/11/2021</v>
      </c>
      <c r="L695" t="str">
        <f>"30/11/2021"</f>
        <v>30/11/2021</v>
      </c>
      <c r="M695" t="str">
        <f>""</f>
        <v/>
      </c>
      <c r="N695" t="str">
        <f>"Giraldo Impianti SNC di Giraldo Danilo e Silvio Via Flli Cervi 1-II 30010 Campolongo Maggiore VE"</f>
        <v>Giraldo Impianti SNC di Giraldo Danilo e Silvio Via Flli Cervi 1-II 30010 Campolongo Maggiore VE</v>
      </c>
      <c r="O695" t="str">
        <f>"Giraldo Impianti SNC di Giraldo Danilo e Silvio Via Flli Cervi 1-II 30010 Campolongo Maggiore VE"</f>
        <v>Giraldo Impianti SNC di Giraldo Danilo e Silvio Via Flli Cervi 1-II 30010 Campolongo Maggiore VE</v>
      </c>
      <c r="P695" t="str">
        <f>"Z3E33DF690: [1830.00€ ]"</f>
        <v>Z3E33DF690: [1830.00€ ]</v>
      </c>
      <c r="Q695" t="str">
        <f>""</f>
        <v/>
      </c>
      <c r="R695" t="str">
        <f>""</f>
        <v/>
      </c>
      <c r="S695" t="str">
        <f>""</f>
        <v/>
      </c>
      <c r="T695" t="str">
        <f>"https://portaletrasparenza.consorziobacchiglione.it/dettagli/attodigara/7277/installazione-pompa-n-1-riparata-presso-impianto-valcittadella.html"</f>
        <v>https://portaletrasparenza.consorziobacchiglione.it/dettagli/attodigara/7277/installazione-pompa-n-1-riparata-presso-impianto-valcittadella.html</v>
      </c>
      <c r="U695" t="str">
        <f>"https://portaletrasparenza.consorziobacchiglione.it/download/attodigara/7277/63ac45e93c2eb.PDF"</f>
        <v>https://portaletrasparenza.consorziobacchiglione.it/download/attodigara/7277/63ac45e93c2eb.PDF</v>
      </c>
      <c r="V69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96" spans="1:22" x14ac:dyDescent="0.3">
      <c r="A696" t="str">
        <f>"Affidamento"</f>
        <v>Affidamento</v>
      </c>
      <c r="B696" t="str">
        <f>"Sostituzione camera nuova Michelin 10.00 x 20 su mezzo targato: AGK711"</f>
        <v>Sostituzione camera nuova Michelin 10.00 x 20 su mezzo targato: AGK711</v>
      </c>
      <c r="C696" t="str">
        <f>"Z9133DF46C"</f>
        <v>Z9133DF46C</v>
      </c>
      <c r="D696" t="str">
        <f>"15/11/2021"</f>
        <v>15/11/2021</v>
      </c>
      <c r="E696" t="str">
        <f>""</f>
        <v/>
      </c>
      <c r="F696" t="str">
        <f>""</f>
        <v/>
      </c>
      <c r="G696" t="str">
        <f>"252.75"</f>
        <v>252.75</v>
      </c>
      <c r="H696" t="str">
        <f>"Consorzio di bonifica Bacchiglione"</f>
        <v>Consorzio di bonifica Bacchiglione</v>
      </c>
      <c r="I696" t="str">
        <f>"92223390284"</f>
        <v>92223390284</v>
      </c>
      <c r="J696" t="str">
        <f>"23-AFFIDAMENTO DIRETTO"</f>
        <v>23-AFFIDAMENTO DIRETTO</v>
      </c>
      <c r="K696" t="str">
        <f>"11/11/2021"</f>
        <v>11/11/2021</v>
      </c>
      <c r="L696" t="str">
        <f>"30/11/2021"</f>
        <v>30/11/2021</v>
      </c>
      <c r="M696" t="str">
        <f>""</f>
        <v/>
      </c>
      <c r="N696" t="str">
        <f>"Ri.gom.ma S.R.L. Via Orlando, 47 - 30173 Campalto (VE)"</f>
        <v>Ri.gom.ma S.R.L. Via Orlando, 47 - 30173 Campalto (VE)</v>
      </c>
      <c r="O696" t="str">
        <f>"Ri.gom.ma S.R.L. Via Orlando, 47 - 30173 Campalto (VE)"</f>
        <v>Ri.gom.ma S.R.L. Via Orlando, 47 - 30173 Campalto (VE)</v>
      </c>
      <c r="P696" t="str">
        <f>"Z9133DF46C: [252.75€ ]"</f>
        <v>Z9133DF46C: [252.75€ ]</v>
      </c>
      <c r="Q696" t="str">
        <f>""</f>
        <v/>
      </c>
      <c r="R696" t="str">
        <f>""</f>
        <v/>
      </c>
      <c r="S696" t="str">
        <f>""</f>
        <v/>
      </c>
      <c r="T696" t="str">
        <f>"https://portaletrasparenza.consorziobacchiglione.it/dettagli/attodigara/7276/sostituzione-camera-nuova-michelin-10-00-x-20-su-mezzo-targato-agk711.html"</f>
        <v>https://portaletrasparenza.consorziobacchiglione.it/dettagli/attodigara/7276/sostituzione-camera-nuova-michelin-10-00-x-20-su-mezzo-targato-agk711.html</v>
      </c>
      <c r="U696" t="str">
        <f>"https://portaletrasparenza.consorziobacchiglione.it/download/attodigara/7276/63ac45e8e6845.PDF"</f>
        <v>https://portaletrasparenza.consorziobacchiglione.it/download/attodigara/7276/63ac45e8e6845.PDF</v>
      </c>
      <c r="V69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97" spans="1:22" x14ac:dyDescent="0.3">
      <c r="A697" t="str">
        <f>"Affidamento"</f>
        <v>Affidamento</v>
      </c>
      <c r="B697" t="str">
        <f>"Riparazione motore elettrico Trifase Marelli KW 250 presso Idrovora Baldon"</f>
        <v>Riparazione motore elettrico Trifase Marelli KW 250 presso Idrovora Baldon</v>
      </c>
      <c r="C697" t="str">
        <f>"ZAC33DF2E0"</f>
        <v>ZAC33DF2E0</v>
      </c>
      <c r="D697" t="str">
        <f>"15/11/2021"</f>
        <v>15/11/2021</v>
      </c>
      <c r="E697" t="str">
        <f>""</f>
        <v/>
      </c>
      <c r="F697" t="str">
        <f>""</f>
        <v/>
      </c>
      <c r="G697" t="str">
        <f>"11450.00"</f>
        <v>11450.00</v>
      </c>
      <c r="H697" t="str">
        <f>"Consorzio di bonifica Bacchiglione"</f>
        <v>Consorzio di bonifica Bacchiglione</v>
      </c>
      <c r="I697" t="str">
        <f>"92223390284"</f>
        <v>92223390284</v>
      </c>
      <c r="J697" t="str">
        <f>"23-AFFIDAMENTO DIRETTO"</f>
        <v>23-AFFIDAMENTO DIRETTO</v>
      </c>
      <c r="K697" t="str">
        <f>"11/11/2021"</f>
        <v>11/11/2021</v>
      </c>
      <c r="L697" t="str">
        <f>"31/01/2022"</f>
        <v>31/01/2022</v>
      </c>
      <c r="M697" t="str">
        <f>""</f>
        <v/>
      </c>
      <c r="N697" t="str">
        <f>"Scarpa Sergio Elettromeccanica S.n.c. di Scarpa Paola E C. Via A. Vivaldi 7 35028 Piove di Sacco PD"</f>
        <v>Scarpa Sergio Elettromeccanica S.n.c. di Scarpa Paola E C. Via A. Vivaldi 7 35028 Piove di Sacco PD</v>
      </c>
      <c r="O697" t="str">
        <f>"Scarpa Sergio Elettromeccanica S.n.c. di Scarpa Paola E C. Via A. Vivaldi 7 35028 Piove di Sacco PD"</f>
        <v>Scarpa Sergio Elettromeccanica S.n.c. di Scarpa Paola E C. Via A. Vivaldi 7 35028 Piove di Sacco PD</v>
      </c>
      <c r="P697" t="str">
        <f>"ZAC33DF2E0: [11450.00€ ]"</f>
        <v>ZAC33DF2E0: [11450.00€ ]</v>
      </c>
      <c r="Q697" t="str">
        <f>""</f>
        <v/>
      </c>
      <c r="R697" t="str">
        <f>""</f>
        <v/>
      </c>
      <c r="S697" t="str">
        <f>""</f>
        <v/>
      </c>
      <c r="T697" t="str">
        <f>"https://portaletrasparenza.consorziobacchiglione.it/dettagli/attodigara/7275/riparazione-motore-elettrico-trifase-marelli-kw-250-presso-idrovora-baldon.html"</f>
        <v>https://portaletrasparenza.consorziobacchiglione.it/dettagli/attodigara/7275/riparazione-motore-elettrico-trifase-marelli-kw-250-presso-idrovora-baldon.html</v>
      </c>
      <c r="U697" t="str">
        <f>"https://portaletrasparenza.consorziobacchiglione.it/download/attodigara/7275/63ac45e8ada9b.PDF"</f>
        <v>https://portaletrasparenza.consorziobacchiglione.it/download/attodigara/7275/63ac45e8ada9b.PDF</v>
      </c>
      <c r="V6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698" spans="1:22" x14ac:dyDescent="0.3">
      <c r="A698" t="str">
        <f>"Affidamento"</f>
        <v>Affidamento</v>
      </c>
      <c r="B698" t="str">
        <f>"Subentro contatore cantiere presso idrovora Scolmatore Limenella Fossetta - Processo ID 006-03."</f>
        <v>Subentro contatore cantiere presso idrovora Scolmatore Limenella Fossetta - Processo ID 006-03.</v>
      </c>
      <c r="C698" t="str">
        <f>"Z8917F7B10"</f>
        <v>Z8917F7B10</v>
      </c>
      <c r="D698" t="str">
        <f>"04/11/2021"</f>
        <v>04/11/2021</v>
      </c>
      <c r="E698" t="str">
        <f>""</f>
        <v/>
      </c>
      <c r="F698" t="str">
        <f>""</f>
        <v/>
      </c>
      <c r="G698" t="str">
        <f>"544.72"</f>
        <v>544.72</v>
      </c>
      <c r="H698" t="str">
        <f>"Consorzio di bonifica Bacchiglione"</f>
        <v>Consorzio di bonifica Bacchiglione</v>
      </c>
      <c r="I698" t="str">
        <f>"92223390284"</f>
        <v>92223390284</v>
      </c>
      <c r="J698" t="str">
        <f>"23-AFFIDAMENTO DIRETTO"</f>
        <v>23-AFFIDAMENTO DIRETTO</v>
      </c>
      <c r="K698" t="str">
        <f>"12/01/2021"</f>
        <v>12/01/2021</v>
      </c>
      <c r="L698" t="str">
        <f>"15/01/2021"</f>
        <v>15/01/2021</v>
      </c>
      <c r="M698" t="str">
        <f>""</f>
        <v/>
      </c>
      <c r="N698" t="str">
        <f>"Enel Energia S.p.A."</f>
        <v>Enel Energia S.p.A.</v>
      </c>
      <c r="O698" t="str">
        <f>"Enel Energia S.p.A."</f>
        <v>Enel Energia S.p.A.</v>
      </c>
      <c r="P698" t="str">
        <f>"Z8917F7B10: [533.59€ ]"</f>
        <v>Z8917F7B10: [533.59€ ]</v>
      </c>
      <c r="Q698" t="str">
        <f>""</f>
        <v/>
      </c>
      <c r="R698" t="str">
        <f>""</f>
        <v/>
      </c>
      <c r="S698" t="str">
        <f>""</f>
        <v/>
      </c>
      <c r="T698" t="str">
        <f>"https://portaletrasparenza.consorziobacchiglione.it/dettagli/attodigara/40/subentro-contatore-cantiere-presso-idrovora-scolmatore-limenella-fossetta-processo-id-006-03.html"</f>
        <v>https://portaletrasparenza.consorziobacchiglione.it/dettagli/attodigara/40/subentro-contatore-cantiere-presso-idrovora-scolmatore-limenella-fossetta-processo-id-006-03.html</v>
      </c>
      <c r="U698" t="str">
        <f>""</f>
        <v/>
      </c>
      <c r="V698">
        <f>(SUBSTITUTE(Tabella1[[#This Row],[Importo di aggiudicazione]],".",","))-(SUBSTITUTE(  SUBSTITUTE(          SUBSTITUTE(Tabella1[[#This Row],[Dettaglio somme liquidate]],Tabella1[[#This Row],[CIG]]&amp;": [",""),"€ ]",""),".",","))</f>
        <v>11.129999999999995</v>
      </c>
    </row>
    <row r="699" spans="1:22" x14ac:dyDescent="0.3">
      <c r="A699" t="str">
        <f>"Affidamento"</f>
        <v>Affidamento</v>
      </c>
      <c r="B699" t="str">
        <f>"Pagamento annuale delle password di accesso al servizio SISTer dell'Agenzia delle Entrate"</f>
        <v>Pagamento annuale delle password di accesso al servizio SISTer dell'Agenzia delle Entrate</v>
      </c>
      <c r="C699" t="str">
        <f>"ZOC301F9EA"</f>
        <v>ZOC301F9EA</v>
      </c>
      <c r="D699" t="str">
        <f>"12/01/2021"</f>
        <v>12/01/2021</v>
      </c>
      <c r="E699" t="str">
        <f>""</f>
        <v/>
      </c>
      <c r="F699" t="str">
        <f>""</f>
        <v/>
      </c>
      <c r="G699" t="str">
        <f>"255.00"</f>
        <v>255.00</v>
      </c>
      <c r="H699" t="str">
        <f>"Consorzio di bonifica Bacchiglione"</f>
        <v>Consorzio di bonifica Bacchiglione</v>
      </c>
      <c r="I699" t="str">
        <f>"92223390284"</f>
        <v>92223390284</v>
      </c>
      <c r="J699" t="str">
        <f>"23-AFFIDAMENTO DIRETTO"</f>
        <v>23-AFFIDAMENTO DIRETTO</v>
      </c>
      <c r="K699" t="str">
        <f>"12/01/2021"</f>
        <v>12/01/2021</v>
      </c>
      <c r="L699" t="str">
        <f>"28/01/2021"</f>
        <v>28/01/2021</v>
      </c>
      <c r="M699" t="str">
        <f>""</f>
        <v/>
      </c>
      <c r="N699" t="str">
        <f>"AGENZIA DELLE ENTRATE"</f>
        <v>AGENZIA DELLE ENTRATE</v>
      </c>
      <c r="O699" t="str">
        <f>"AGENZIA DELLE ENTRATE"</f>
        <v>AGENZIA DELLE ENTRATE</v>
      </c>
      <c r="P699" t="s">
        <v>363</v>
      </c>
      <c r="Q699" t="str">
        <f>""</f>
        <v/>
      </c>
      <c r="R699" t="str">
        <f>""</f>
        <v/>
      </c>
      <c r="S699" t="str">
        <f>""</f>
        <v/>
      </c>
      <c r="T699" t="str">
        <f>"https://portaletrasparenza.consorziobacchiglione.it/dettagli/attodigara/6537/pagamento-annuale-delle-password-di-accesso-al-servizio-sister-dell-agenzia-delle-entrate.html"</f>
        <v>https://portaletrasparenza.consorziobacchiglione.it/dettagli/attodigara/6537/pagamento-annuale-delle-password-di-accesso-al-servizio-sister-dell-agenzia-delle-entrate.html</v>
      </c>
      <c r="U699" t="str">
        <f>"https://portaletrasparenza.consorziobacchiglione.it/download/attodigara/6537/63ac4546da08a.PDF"</f>
        <v>https://portaletrasparenza.consorziobacchiglione.it/download/attodigara/6537/63ac4546da08a.PDF</v>
      </c>
      <c r="V6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00" spans="1:22" x14ac:dyDescent="0.3">
      <c r="A700" t="str">
        <f>"Affidamento"</f>
        <v>Affidamento</v>
      </c>
      <c r="B700" t="str">
        <f>"Fornitura Patch Cord Cat. e cavi di rete per installazione nuovo centralino presso sede Consorziale"</f>
        <v>Fornitura Patch Cord Cat. e cavi di rete per installazione nuovo centralino presso sede Consorziale</v>
      </c>
      <c r="C700" t="str">
        <f>"Z0E3026CFC"</f>
        <v>Z0E3026CFC</v>
      </c>
      <c r="D700" t="str">
        <f>"12/01/2021"</f>
        <v>12/01/2021</v>
      </c>
      <c r="E700" t="str">
        <f>""</f>
        <v/>
      </c>
      <c r="F700" t="str">
        <f>""</f>
        <v/>
      </c>
      <c r="G700" t="str">
        <f>"196.77"</f>
        <v>196.77</v>
      </c>
      <c r="H700" t="str">
        <f>"Consorzio di bonifica Bacchiglione"</f>
        <v>Consorzio di bonifica Bacchiglione</v>
      </c>
      <c r="I700" t="str">
        <f>"92223390284"</f>
        <v>92223390284</v>
      </c>
      <c r="J700" t="str">
        <f>"23-AFFIDAMENTO DIRETTO"</f>
        <v>23-AFFIDAMENTO DIRETTO</v>
      </c>
      <c r="K700" t="str">
        <f>"12/01/2021"</f>
        <v>12/01/2021</v>
      </c>
      <c r="L700" t="str">
        <f>"18/01/2021"</f>
        <v>18/01/2021</v>
      </c>
      <c r="M700" t="str">
        <f>""</f>
        <v/>
      </c>
      <c r="N700" t="str">
        <f>"Elmat SPA Via Uruguay 15, 35127 Padova Z.I. Sud (PD)"</f>
        <v>Elmat SPA Via Uruguay 15, 35127 Padova Z.I. Sud (PD)</v>
      </c>
      <c r="O700" t="str">
        <f>"Elmat SPA Via Uruguay 15, 35127 Padova Z.I. Sud (PD)"</f>
        <v>Elmat SPA Via Uruguay 15, 35127 Padova Z.I. Sud (PD)</v>
      </c>
      <c r="P700" t="str">
        <f>"Z0E3026CFC: [196.77€ ]"</f>
        <v>Z0E3026CFC: [196.77€ ]</v>
      </c>
      <c r="Q700" t="str">
        <f>""</f>
        <v/>
      </c>
      <c r="R700" t="str">
        <f>""</f>
        <v/>
      </c>
      <c r="S700" t="str">
        <f>""</f>
        <v/>
      </c>
      <c r="T700" t="str">
        <f>"https://portaletrasparenza.consorziobacchiglione.it/dettagli/attodigara/6545/fornitura-patch-cord-cat-e-cavi-di-rete-per-installazione-nuovo-centralino-presso-sede-consorziale.html"</f>
        <v>https://portaletrasparenza.consorziobacchiglione.it/dettagli/attodigara/6545/fornitura-patch-cord-cat-e-cavi-di-rete-per-installazione-nuovo-centralino-presso-sede-consorziale.html</v>
      </c>
      <c r="U700" t="str">
        <f>"https://portaletrasparenza.consorziobacchiglione.it/download/attodigara/6545/63ac4547cd687.PDF"</f>
        <v>https://portaletrasparenza.consorziobacchiglione.it/download/attodigara/6545/63ac4547cd687.PDF</v>
      </c>
      <c r="V7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01" spans="1:22" x14ac:dyDescent="0.3">
      <c r="A701" t="str">
        <f>"Affidamento"</f>
        <v>Affidamento</v>
      </c>
      <c r="B701" t="str">
        <f>"Fornitura n.50 pali in Castagno con punta lunghi MT. 4 per Bacino Bovolenta"</f>
        <v>Fornitura n.50 pali in Castagno con punta lunghi MT. 4 per Bacino Bovolenta</v>
      </c>
      <c r="C701" t="str">
        <f>"ZF830259B2"</f>
        <v>ZF830259B2</v>
      </c>
      <c r="D701" t="str">
        <f>"12/01/2021"</f>
        <v>12/01/2021</v>
      </c>
      <c r="E701" t="str">
        <f>""</f>
        <v/>
      </c>
      <c r="F701" t="str">
        <f>""</f>
        <v/>
      </c>
      <c r="G701" t="str">
        <f>"925.00"</f>
        <v>925.00</v>
      </c>
      <c r="H701" t="str">
        <f>"Consorzio di bonifica Bacchiglione"</f>
        <v>Consorzio di bonifica Bacchiglione</v>
      </c>
      <c r="I701" t="str">
        <f>"92223390284"</f>
        <v>92223390284</v>
      </c>
      <c r="J701" t="str">
        <f>"23-AFFIDAMENTO DIRETTO"</f>
        <v>23-AFFIDAMENTO DIRETTO</v>
      </c>
      <c r="K701" t="str">
        <f>"12/01/2021"</f>
        <v>12/01/2021</v>
      </c>
      <c r="L701" t="str">
        <f>"22/01/2021"</f>
        <v>22/01/2021</v>
      </c>
      <c r="M701" t="str">
        <f>""</f>
        <v/>
      </c>
      <c r="N701" t="str">
        <f>"Rinaldi Combustibili s.n.c. Via Repoise 2 35030 Cervarese Santa Croce PD"</f>
        <v>Rinaldi Combustibili s.n.c. Via Repoise 2 35030 Cervarese Santa Croce PD</v>
      </c>
      <c r="O701" t="str">
        <f>"Rinaldi Combustibili s.n.c. Via Repoise 2 35030 Cervarese Santa Croce PD"</f>
        <v>Rinaldi Combustibili s.n.c. Via Repoise 2 35030 Cervarese Santa Croce PD</v>
      </c>
      <c r="P701" t="str">
        <f>"ZF830259B2: [925.00€ ]"</f>
        <v>ZF830259B2: [925.00€ ]</v>
      </c>
      <c r="Q701" t="str">
        <f>""</f>
        <v/>
      </c>
      <c r="R701" t="str">
        <f>""</f>
        <v/>
      </c>
      <c r="S701" t="str">
        <f>""</f>
        <v/>
      </c>
      <c r="T701" t="str">
        <f>"https://portaletrasparenza.consorziobacchiglione.it/dettagli/attodigara/6544/fornitura-n-50-pali-in-castagno-con-punta-lunghi-mt-4-per-bacino-bovolenta.html"</f>
        <v>https://portaletrasparenza.consorziobacchiglione.it/dettagli/attodigara/6544/fornitura-n-50-pali-in-castagno-con-punta-lunghi-mt-4-per-bacino-bovolenta.html</v>
      </c>
      <c r="U701" t="str">
        <f>"https://portaletrasparenza.consorziobacchiglione.it/download/attodigara/6544/63ac45481193b.PDF"</f>
        <v>https://portaletrasparenza.consorziobacchiglione.it/download/attodigara/6544/63ac45481193b.PDF</v>
      </c>
      <c r="V70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02" spans="1:22" x14ac:dyDescent="0.3">
      <c r="A702" t="str">
        <f>"Affidamento"</f>
        <v>Affidamento</v>
      </c>
      <c r="B702" t="str">
        <f>"Riparazione e manutenzione elettropompa E.P.1 e E.P.2 presso Impianto Irriguo Sagredo"</f>
        <v>Riparazione e manutenzione elettropompa E.P.1 e E.P.2 presso Impianto Irriguo Sagredo</v>
      </c>
      <c r="C702" t="str">
        <f>"Z9630256D0"</f>
        <v>Z9630256D0</v>
      </c>
      <c r="D702" t="str">
        <f>"12/01/2021"</f>
        <v>12/01/2021</v>
      </c>
      <c r="E702" t="str">
        <f>""</f>
        <v/>
      </c>
      <c r="F702" t="str">
        <f>""</f>
        <v/>
      </c>
      <c r="G702" t="str">
        <f>"12500.00"</f>
        <v>12500.00</v>
      </c>
      <c r="H702" t="str">
        <f>"Consorzio di bonifica Bacchiglione"</f>
        <v>Consorzio di bonifica Bacchiglione</v>
      </c>
      <c r="I702" t="str">
        <f>"92223390284"</f>
        <v>92223390284</v>
      </c>
      <c r="J702" t="str">
        <f>"23-AFFIDAMENTO DIRETTO"</f>
        <v>23-AFFIDAMENTO DIRETTO</v>
      </c>
      <c r="K702" t="str">
        <f>"12/01/2021"</f>
        <v>12/01/2021</v>
      </c>
      <c r="L702" t="str">
        <f>"31/03/2021"</f>
        <v>31/03/2021</v>
      </c>
      <c r="M702" t="str">
        <f>""</f>
        <v/>
      </c>
      <c r="N702" t="str">
        <f>"Moro Meccanica S.R.L. Via Bologna 7 35035 Mestrino PD"</f>
        <v>Moro Meccanica S.R.L. Via Bologna 7 35035 Mestrino PD</v>
      </c>
      <c r="O702" t="str">
        <f>"Moro Meccanica S.R.L. Via Bologna 7 35035 Mestrino PD"</f>
        <v>Moro Meccanica S.R.L. Via Bologna 7 35035 Mestrino PD</v>
      </c>
      <c r="P702" t="str">
        <f>"Z9630256D0: [12500.00€ ]"</f>
        <v>Z9630256D0: [12500.00€ ]</v>
      </c>
      <c r="Q702" t="str">
        <f>""</f>
        <v/>
      </c>
      <c r="R702" t="str">
        <f>""</f>
        <v/>
      </c>
      <c r="S702" t="str">
        <f>""</f>
        <v/>
      </c>
      <c r="T702" t="str">
        <f>"https://portaletrasparenza.consorziobacchiglione.it/dettagli/attodigara/6543/riparazione-e-manutenzione-elettropompa-e-p-1-e-e-p-2-presso-impianto-irriguo-sagredo.html"</f>
        <v>https://portaletrasparenza.consorziobacchiglione.it/dettagli/attodigara/6543/riparazione-e-manutenzione-elettropompa-e-p-1-e-e-p-2-presso-impianto-irriguo-sagredo.html</v>
      </c>
      <c r="U702" t="str">
        <f>"https://portaletrasparenza.consorziobacchiglione.it/download/attodigara/6543/63ac454849c46.PDF"</f>
        <v>https://portaletrasparenza.consorziobacchiglione.it/download/attodigara/6543/63ac454849c46.PDF</v>
      </c>
      <c r="V7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03" spans="1:22" x14ac:dyDescent="0.3">
      <c r="A703" t="str">
        <f>"Affidamento"</f>
        <v>Affidamento</v>
      </c>
      <c r="B703" t="str">
        <f>"Fornitura n. 10 pantaloni JRC più n. 4 scarpe Leo S3 per personale di campagna"</f>
        <v>Fornitura n. 10 pantaloni JRC più n. 4 scarpe Leo S3 per personale di campagna</v>
      </c>
      <c r="C703" t="str">
        <f>"ZCD3024E1B"</f>
        <v>ZCD3024E1B</v>
      </c>
      <c r="D703" t="str">
        <f>"12/01/2021"</f>
        <v>12/01/2021</v>
      </c>
      <c r="E703" t="str">
        <f>""</f>
        <v/>
      </c>
      <c r="F703" t="str">
        <f>""</f>
        <v/>
      </c>
      <c r="G703" t="str">
        <f>"387.00"</f>
        <v>387.00</v>
      </c>
      <c r="H703" t="str">
        <f>"Consorzio di bonifica Bacchiglione"</f>
        <v>Consorzio di bonifica Bacchiglione</v>
      </c>
      <c r="I703" t="str">
        <f>"92223390284"</f>
        <v>92223390284</v>
      </c>
      <c r="J703" t="str">
        <f>"23-AFFIDAMENTO DIRETTO"</f>
        <v>23-AFFIDAMENTO DIRETTO</v>
      </c>
      <c r="K703" t="str">
        <f>"12/01/2021"</f>
        <v>12/01/2021</v>
      </c>
      <c r="L703" t="str">
        <f>"20/01/2021"</f>
        <v>20/01/2021</v>
      </c>
      <c r="M703" t="str">
        <f>""</f>
        <v/>
      </c>
      <c r="N703" t="str">
        <f>"Chinello antinfortunistica via Padana 34 Z.I. Vigorovea di S.Angelo di Piove di Sacco PD"</f>
        <v>Chinello antinfortunistica via Padana 34 Z.I. Vigorovea di S.Angelo di Piove di Sacco PD</v>
      </c>
      <c r="O703" t="str">
        <f>"Chinello antinfortunistica via Padana 34 Z.I. Vigorovea di S.Angelo di Piove di Sacco PD"</f>
        <v>Chinello antinfortunistica via Padana 34 Z.I. Vigorovea di S.Angelo di Piove di Sacco PD</v>
      </c>
      <c r="P703" t="str">
        <f>"ZCD3024E1B: [387.00€ ]"</f>
        <v>ZCD3024E1B: [387.00€ ]</v>
      </c>
      <c r="Q703" t="str">
        <f>""</f>
        <v/>
      </c>
      <c r="R703" t="str">
        <f>""</f>
        <v/>
      </c>
      <c r="S703" t="str">
        <f>""</f>
        <v/>
      </c>
      <c r="T703" t="str">
        <f>"https://portaletrasparenza.consorziobacchiglione.it/dettagli/attodigara/6542/fornitura-n-10-pantaloni-jrc-piu-n-4-scarpe-leo-s3-per-personale-di-campagna.html"</f>
        <v>https://portaletrasparenza.consorziobacchiglione.it/dettagli/attodigara/6542/fornitura-n-10-pantaloni-jrc-piu-n-4-scarpe-leo-s3-per-personale-di-campagna.html</v>
      </c>
      <c r="U703" t="str">
        <f>"https://portaletrasparenza.consorziobacchiglione.it/download/attodigara/6542/63ac4548822f4.PDF"</f>
        <v>https://portaletrasparenza.consorziobacchiglione.it/download/attodigara/6542/63ac4548822f4.PDF</v>
      </c>
      <c r="V7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04" spans="1:22" x14ac:dyDescent="0.3">
      <c r="A704" t="str">
        <f>"Affidamento"</f>
        <v>Affidamento</v>
      </c>
      <c r="B704" t="str">
        <f>"Manutenzione e riparazione mezzo targato: AKB005"</f>
        <v>Manutenzione e riparazione mezzo targato: AKB005</v>
      </c>
      <c r="C704" t="str">
        <f>"ZBC3024C77"</f>
        <v>ZBC3024C77</v>
      </c>
      <c r="D704" t="str">
        <f>"12/01/2021"</f>
        <v>12/01/2021</v>
      </c>
      <c r="E704" t="str">
        <f>""</f>
        <v/>
      </c>
      <c r="F704" t="str">
        <f>""</f>
        <v/>
      </c>
      <c r="G704" t="str">
        <f>"2920.29"</f>
        <v>2920.29</v>
      </c>
      <c r="H704" t="str">
        <f>"Consorzio di bonifica Bacchiglione"</f>
        <v>Consorzio di bonifica Bacchiglione</v>
      </c>
      <c r="I704" t="str">
        <f>"92223390284"</f>
        <v>92223390284</v>
      </c>
      <c r="J704" t="str">
        <f>"23-AFFIDAMENTO DIRETTO"</f>
        <v>23-AFFIDAMENTO DIRETTO</v>
      </c>
      <c r="K704" t="str">
        <f>"12/01/2021"</f>
        <v>12/01/2021</v>
      </c>
      <c r="L704" t="str">
        <f>"21/01/2021"</f>
        <v>21/01/2021</v>
      </c>
      <c r="M704" t="str">
        <f>""</f>
        <v/>
      </c>
      <c r="N704" t="str">
        <f>"Officina Biesse S.n.c. Via Matteotti 24 35020 Arzergrande PD"</f>
        <v>Officina Biesse S.n.c. Via Matteotti 24 35020 Arzergrande PD</v>
      </c>
      <c r="O704" t="str">
        <f>"Officina Biesse S.n.c. Via Matteotti 24 35020 Arzergrande PD"</f>
        <v>Officina Biesse S.n.c. Via Matteotti 24 35020 Arzergrande PD</v>
      </c>
      <c r="P704" t="str">
        <f>"ZBC3024C77: [2920.29€ ]"</f>
        <v>ZBC3024C77: [2920.29€ ]</v>
      </c>
      <c r="Q704" t="str">
        <f>""</f>
        <v/>
      </c>
      <c r="R704" t="str">
        <f>""</f>
        <v/>
      </c>
      <c r="S704" t="str">
        <f>""</f>
        <v/>
      </c>
      <c r="T704" t="str">
        <f>"https://portaletrasparenza.consorziobacchiglione.it/dettagli/attodigara/6541/manutenzione-e-riparazione-mezzo-targato-akb005.html"</f>
        <v>https://portaletrasparenza.consorziobacchiglione.it/dettagli/attodigara/6541/manutenzione-e-riparazione-mezzo-targato-akb005.html</v>
      </c>
      <c r="U704" t="str">
        <f>"https://portaletrasparenza.consorziobacchiglione.it/download/attodigara/6541/63ac4548ba8cf.PDF"</f>
        <v>https://portaletrasparenza.consorziobacchiglione.it/download/attodigara/6541/63ac4548ba8cf.PDF</v>
      </c>
      <c r="V7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05" spans="1:22" x14ac:dyDescent="0.3">
      <c r="A705" t="str">
        <f>"Affidamento"</f>
        <v>Affidamento</v>
      </c>
      <c r="B705" t="str">
        <f>"Manutenzione e riparazione sgrigliatore presso scolo Fiumicello nel comune di Piove di Sacco"</f>
        <v>Manutenzione e riparazione sgrigliatore presso scolo Fiumicello nel comune di Piove di Sacco</v>
      </c>
      <c r="C705" t="str">
        <f>"ZDA3024ABF"</f>
        <v>ZDA3024ABF</v>
      </c>
      <c r="D705" t="str">
        <f>"12/01/2021"</f>
        <v>12/01/2021</v>
      </c>
      <c r="E705" t="str">
        <f>""</f>
        <v/>
      </c>
      <c r="F705" t="str">
        <f>""</f>
        <v/>
      </c>
      <c r="G705" t="str">
        <f>"1150.00"</f>
        <v>1150.00</v>
      </c>
      <c r="H705" t="str">
        <f>"Consorzio di bonifica Bacchiglione"</f>
        <v>Consorzio di bonifica Bacchiglione</v>
      </c>
      <c r="I705" t="str">
        <f>"92223390284"</f>
        <v>92223390284</v>
      </c>
      <c r="J705" t="str">
        <f>"23-AFFIDAMENTO DIRETTO"</f>
        <v>23-AFFIDAMENTO DIRETTO</v>
      </c>
      <c r="K705" t="str">
        <f>"12/01/2021"</f>
        <v>12/01/2021</v>
      </c>
      <c r="L705" t="str">
        <f>"20/01/2021"</f>
        <v>20/01/2021</v>
      </c>
      <c r="M705" t="str">
        <f>""</f>
        <v/>
      </c>
      <c r="N705" t="str">
        <f>"Officina Biesse S.n.c. Via Matteotti 24 35020 Arzergrande PD"</f>
        <v>Officina Biesse S.n.c. Via Matteotti 24 35020 Arzergrande PD</v>
      </c>
      <c r="O705" t="str">
        <f>"Officina Biesse S.n.c. Via Matteotti 24 35020 Arzergrande PD"</f>
        <v>Officina Biesse S.n.c. Via Matteotti 24 35020 Arzergrande PD</v>
      </c>
      <c r="P705" t="str">
        <f>"ZDA3024ABF: [1150.00€ ]"</f>
        <v>ZDA3024ABF: [1150.00€ ]</v>
      </c>
      <c r="Q705" t="str">
        <f>""</f>
        <v/>
      </c>
      <c r="R705" t="str">
        <f>""</f>
        <v/>
      </c>
      <c r="S705" t="str">
        <f>""</f>
        <v/>
      </c>
      <c r="T705" t="str">
        <f>"https://portaletrasparenza.consorziobacchiglione.it/dettagli/attodigara/6540/manutenzione-e-riparazione-sgrigliatore-presso-scolo-fiumicello-nel-comune-di-piove-di-sacco.html"</f>
        <v>https://portaletrasparenza.consorziobacchiglione.it/dettagli/attodigara/6540/manutenzione-e-riparazione-sgrigliatore-presso-scolo-fiumicello-nel-comune-di-piove-di-sacco.html</v>
      </c>
      <c r="U705" t="str">
        <f>"https://portaletrasparenza.consorziobacchiglione.it/download/attodigara/6540/63ac45478ebc1.PDF"</f>
        <v>https://portaletrasparenza.consorziobacchiglione.it/download/attodigara/6540/63ac45478ebc1.PDF</v>
      </c>
      <c r="V70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06" spans="1:22" x14ac:dyDescent="0.3">
      <c r="A706" t="str">
        <f>"Affidamento"</f>
        <v>Affidamento</v>
      </c>
      <c r="B706" t="str">
        <f>"Acquisto aggiornamenti anno 2020 banca dati alfanumerica (Catasto fabbricati e terreni) Agenzia delle Entrate Direzione Provinciale di Venezia"</f>
        <v>Acquisto aggiornamenti anno 2020 banca dati alfanumerica (Catasto fabbricati e terreni) Agenzia delle Entrate Direzione Provinciale di Venezia</v>
      </c>
      <c r="C706" t="str">
        <f>"ZD23021B7D"</f>
        <v>ZD23021B7D</v>
      </c>
      <c r="D706" t="str">
        <f>"12/01/2021"</f>
        <v>12/01/2021</v>
      </c>
      <c r="E706" t="str">
        <f>""</f>
        <v/>
      </c>
      <c r="F706" t="str">
        <f>""</f>
        <v/>
      </c>
      <c r="G706" t="str">
        <f>"310.70"</f>
        <v>310.70</v>
      </c>
      <c r="H706" t="str">
        <f>"Consorzio di bonifica Bacchiglione"</f>
        <v>Consorzio di bonifica Bacchiglione</v>
      </c>
      <c r="I706" t="str">
        <f>"92223390284"</f>
        <v>92223390284</v>
      </c>
      <c r="J706" t="str">
        <f>"23-AFFIDAMENTO DIRETTO"</f>
        <v>23-AFFIDAMENTO DIRETTO</v>
      </c>
      <c r="K706" t="str">
        <f>"12/01/2021"</f>
        <v>12/01/2021</v>
      </c>
      <c r="L706" t="str">
        <f>"28/01/2021"</f>
        <v>28/01/2021</v>
      </c>
      <c r="M706" t="str">
        <f>""</f>
        <v/>
      </c>
      <c r="N706" t="str">
        <f>"AGENZIA DELLE ENTRATE"</f>
        <v>AGENZIA DELLE ENTRATE</v>
      </c>
      <c r="O706" t="str">
        <f>"AGENZIA DELLE ENTRATE"</f>
        <v>AGENZIA DELLE ENTRATE</v>
      </c>
      <c r="P706" t="str">
        <f>"ZD23021B7D: [310.70€ ]"</f>
        <v>ZD23021B7D: [310.70€ ]</v>
      </c>
      <c r="Q706" t="str">
        <f>""</f>
        <v/>
      </c>
      <c r="R706" t="str">
        <f>""</f>
        <v/>
      </c>
      <c r="S706" t="str">
        <f>""</f>
        <v/>
      </c>
      <c r="T706" t="str">
        <f>"https://portaletrasparenza.consorziobacchiglione.it/dettagli/attodigara/6539/acquisto-aggiornamenti-anno-2020-banca-dati-alfanumerica-catasto-fabbricati-e-terreni-agenzia-delle-entrate-direzione-provinciale-di-venezia.html"</f>
        <v>https://portaletrasparenza.consorziobacchiglione.it/dettagli/attodigara/6539/acquisto-aggiornamenti-anno-2020-banca-dati-alfanumerica-catasto-fabbricati-e-terreni-agenzia-delle-entrate-direzione-provinciale-di-venezia.html</v>
      </c>
      <c r="U706" t="str">
        <f>"https://portaletrasparenza.consorziobacchiglione.it/download/attodigara/6539/63ac454756882.PDF"</f>
        <v>https://portaletrasparenza.consorziobacchiglione.it/download/attodigara/6539/63ac454756882.PDF</v>
      </c>
      <c r="V7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07" spans="1:22" x14ac:dyDescent="0.3">
      <c r="A707" t="str">
        <f>"Affidamento"</f>
        <v>Affidamento</v>
      </c>
      <c r="B707" t="str">
        <f>"Acquisto fogli di mappa cxf Agenzia delle Entrate - Direzione Provinciale di Venezia"</f>
        <v>Acquisto fogli di mappa cxf Agenzia delle Entrate - Direzione Provinciale di Venezia</v>
      </c>
      <c r="C707" t="str">
        <f>"Z673021B15"</f>
        <v>Z673021B15</v>
      </c>
      <c r="D707" t="str">
        <f>"12/01/2021"</f>
        <v>12/01/2021</v>
      </c>
      <c r="E707" t="str">
        <f>""</f>
        <v/>
      </c>
      <c r="F707" t="str">
        <f>""</f>
        <v/>
      </c>
      <c r="G707" t="str">
        <f>"5200.00"</f>
        <v>5200.00</v>
      </c>
      <c r="H707" t="str">
        <f>"Consorzio di bonifica Bacchiglione"</f>
        <v>Consorzio di bonifica Bacchiglione</v>
      </c>
      <c r="I707" t="str">
        <f>"92223390284"</f>
        <v>92223390284</v>
      </c>
      <c r="J707" t="str">
        <f>"23-AFFIDAMENTO DIRETTO"</f>
        <v>23-AFFIDAMENTO DIRETTO</v>
      </c>
      <c r="K707" t="str">
        <f>"12/01/2021"</f>
        <v>12/01/2021</v>
      </c>
      <c r="L707" t="str">
        <f>"28/01/2021"</f>
        <v>28/01/2021</v>
      </c>
      <c r="M707" t="str">
        <f>""</f>
        <v/>
      </c>
      <c r="N707" t="str">
        <f>"AGENZIA DELLE ENTRATE"</f>
        <v>AGENZIA DELLE ENTRATE</v>
      </c>
      <c r="O707" t="str">
        <f>"AGENZIA DELLE ENTRATE"</f>
        <v>AGENZIA DELLE ENTRATE</v>
      </c>
      <c r="P707" t="str">
        <f>"Z673021B15: [5200.00€ ]"</f>
        <v>Z673021B15: [5200.00€ ]</v>
      </c>
      <c r="Q707" t="str">
        <f>""</f>
        <v/>
      </c>
      <c r="R707" t="str">
        <f>""</f>
        <v/>
      </c>
      <c r="S707" t="str">
        <f>""</f>
        <v/>
      </c>
      <c r="T707" t="str">
        <f>"https://portaletrasparenza.consorziobacchiglione.it/dettagli/attodigara/6538/acquisto-fogli-di-mappa-cxf-agenzia-delle-entrate-direzione-provinciale-di-venezia.html"</f>
        <v>https://portaletrasparenza.consorziobacchiglione.it/dettagli/attodigara/6538/acquisto-fogli-di-mappa-cxf-agenzia-delle-entrate-direzione-provinciale-di-venezia.html</v>
      </c>
      <c r="U707" t="str">
        <f>"https://portaletrasparenza.consorziobacchiglione.it/download/attodigara/6538/63ac45471e325.PDF"</f>
        <v>https://portaletrasparenza.consorziobacchiglione.it/download/attodigara/6538/63ac45471e325.PDF</v>
      </c>
      <c r="V70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08" spans="1:22" x14ac:dyDescent="0.3">
      <c r="A708" t="str">
        <f>"Affidamento"</f>
        <v>Affidamento</v>
      </c>
      <c r="B708" t="str">
        <f>"Lavaggio più ingrassaggio mezzo con targa : CB934XY"</f>
        <v>Lavaggio più ingrassaggio mezzo con targa : CB934XY</v>
      </c>
      <c r="C708" t="str">
        <f>"Z9B187FD9D"</f>
        <v>Z9B187FD9D</v>
      </c>
      <c r="D708" t="str">
        <f>"04/11/2021"</f>
        <v>04/11/2021</v>
      </c>
      <c r="E708" t="str">
        <f>""</f>
        <v/>
      </c>
      <c r="F708" t="str">
        <f>""</f>
        <v/>
      </c>
      <c r="G708" t="str">
        <f>"80.00"</f>
        <v>80.00</v>
      </c>
      <c r="H708" t="str">
        <f>"Consorzio di bonifica Bacchiglione"</f>
        <v>Consorzio di bonifica Bacchiglione</v>
      </c>
      <c r="I708" t="str">
        <f>"92223390284"</f>
        <v>92223390284</v>
      </c>
      <c r="J708" t="str">
        <f>"23-AFFIDAMENTO DIRETTO"</f>
        <v>23-AFFIDAMENTO DIRETTO</v>
      </c>
      <c r="K708" t="str">
        <f>"12/02/2021"</f>
        <v>12/02/2021</v>
      </c>
      <c r="L708" t="str">
        <f>"10/03/2021"</f>
        <v>10/03/2021</v>
      </c>
      <c r="M708" t="str">
        <f>""</f>
        <v/>
      </c>
      <c r="N708" t="str">
        <f>"Officina Biesse S.n.c. Via Matteotti 24 35020 Arzergrande PD"</f>
        <v>Officina Biesse S.n.c. Via Matteotti 24 35020 Arzergrande PD</v>
      </c>
      <c r="O708" t="str">
        <f>"Officina Biesse S.n.c. Via Matteotti 24 35020 Arzergrande PD"</f>
        <v>Officina Biesse S.n.c. Via Matteotti 24 35020 Arzergrande PD</v>
      </c>
      <c r="P708" t="str">
        <f>"Z9B187FD9D: [80.00€ ]"</f>
        <v>Z9B187FD9D: [80.00€ ]</v>
      </c>
      <c r="Q708" t="str">
        <f>""</f>
        <v/>
      </c>
      <c r="R708" t="str">
        <f>""</f>
        <v/>
      </c>
      <c r="S708" t="str">
        <f>""</f>
        <v/>
      </c>
      <c r="T708" t="str">
        <f>"https://portaletrasparenza.consorziobacchiglione.it/dettagli/attodigara/150/lavaggio-piu-ingrassaggio-mezzo-con-targa-cb934xy.html"</f>
        <v>https://portaletrasparenza.consorziobacchiglione.it/dettagli/attodigara/150/lavaggio-piu-ingrassaggio-mezzo-con-targa-cb934xy.html</v>
      </c>
      <c r="U708" t="str">
        <f>""</f>
        <v/>
      </c>
      <c r="V7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09" spans="1:22" x14ac:dyDescent="0.3">
      <c r="A709" t="str">
        <f>"Affidamento"</f>
        <v>Affidamento</v>
      </c>
      <c r="B709" t="str">
        <f>"Manutenzione , riparazione e lavaggio mezzi con targa. AJP870, AHH573, CB934XY, AGK711."</f>
        <v>Manutenzione , riparazione e lavaggio mezzi con targa. AJP870, AHH573, CB934XY, AGK711.</v>
      </c>
      <c r="C709" t="str">
        <f>"Z6D187E282"</f>
        <v>Z6D187E282</v>
      </c>
      <c r="D709" t="str">
        <f>"04/11/2021"</f>
        <v>04/11/2021</v>
      </c>
      <c r="E709" t="str">
        <f>""</f>
        <v/>
      </c>
      <c r="F709" t="str">
        <f>""</f>
        <v/>
      </c>
      <c r="G709" t="str">
        <f>"841.36"</f>
        <v>841.36</v>
      </c>
      <c r="H709" t="str">
        <f>"Consorzio di bonifica Bacchiglione"</f>
        <v>Consorzio di bonifica Bacchiglione</v>
      </c>
      <c r="I709" t="str">
        <f>"92223390284"</f>
        <v>92223390284</v>
      </c>
      <c r="J709" t="str">
        <f>"23-AFFIDAMENTO DIRETTO"</f>
        <v>23-AFFIDAMENTO DIRETTO</v>
      </c>
      <c r="K709" t="str">
        <f>"12/02/2021"</f>
        <v>12/02/2021</v>
      </c>
      <c r="L709" t="str">
        <f>"10/03/2021"</f>
        <v>10/03/2021</v>
      </c>
      <c r="M709" t="str">
        <f>""</f>
        <v/>
      </c>
      <c r="N709" t="str">
        <f>"Officina Biesse S.n.c. Via Matteotti 24 35020 Arzergrande PD"</f>
        <v>Officina Biesse S.n.c. Via Matteotti 24 35020 Arzergrande PD</v>
      </c>
      <c r="O709" t="str">
        <f>"Officina Biesse S.n.c. Via Matteotti 24 35020 Arzergrande PD"</f>
        <v>Officina Biesse S.n.c. Via Matteotti 24 35020 Arzergrande PD</v>
      </c>
      <c r="P709" t="str">
        <f>"Z6D187E282: [841.36€ ]"</f>
        <v>Z6D187E282: [841.36€ ]</v>
      </c>
      <c r="Q709" t="str">
        <f>""</f>
        <v/>
      </c>
      <c r="R709" t="str">
        <f>""</f>
        <v/>
      </c>
      <c r="S709" t="str">
        <f>""</f>
        <v/>
      </c>
      <c r="T709" t="str">
        <f>"https://portaletrasparenza.consorziobacchiglione.it/dettagli/attodigara/149/manutenzione-riparazione-e-lavaggio-mezzi-con-targa-ajp870-ahh573-cb934xy-agk711.html"</f>
        <v>https://portaletrasparenza.consorziobacchiglione.it/dettagli/attodigara/149/manutenzione-riparazione-e-lavaggio-mezzi-con-targa-ajp870-ahh573-cb934xy-agk711.html</v>
      </c>
      <c r="U709" t="str">
        <f>""</f>
        <v/>
      </c>
      <c r="V7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10" spans="1:22" x14ac:dyDescent="0.3">
      <c r="A710" t="str">
        <f>"Affidamento"</f>
        <v>Affidamento</v>
      </c>
      <c r="B710" t="str">
        <f>"Fornitura carburante per attrezzature consorziali anno 2016."</f>
        <v>Fornitura carburante per attrezzature consorziali anno 2016.</v>
      </c>
      <c r="C710" t="str">
        <f>"ZAB18803E3"</f>
        <v>ZAB18803E3</v>
      </c>
      <c r="D710" t="str">
        <f>"04/11/2021"</f>
        <v>04/11/2021</v>
      </c>
      <c r="E710" t="str">
        <f>""</f>
        <v/>
      </c>
      <c r="F710" t="str">
        <f>""</f>
        <v/>
      </c>
      <c r="G710" t="str">
        <f>"2877.05"</f>
        <v>2877.05</v>
      </c>
      <c r="H710" t="str">
        <f>"Consorzio di bonifica Bacchiglione"</f>
        <v>Consorzio di bonifica Bacchiglione</v>
      </c>
      <c r="I710" t="str">
        <f>"92223390284"</f>
        <v>92223390284</v>
      </c>
      <c r="J710" t="str">
        <f>"23-AFFIDAMENTO DIRETTO"</f>
        <v>23-AFFIDAMENTO DIRETTO</v>
      </c>
      <c r="K710" t="str">
        <f>"12/02/2021"</f>
        <v>12/02/2021</v>
      </c>
      <c r="L710" t="str">
        <f>"12/04/2021"</f>
        <v>12/04/2021</v>
      </c>
      <c r="M710" t="str">
        <f>""</f>
        <v/>
      </c>
      <c r="N710" t="str">
        <f>"Lunardi Flavio Stazione Total Strada dei Pescatori 24a 35020 Codevigo PD"</f>
        <v>Lunardi Flavio Stazione Total Strada dei Pescatori 24a 35020 Codevigo PD</v>
      </c>
      <c r="O710" t="str">
        <f>"Lunardi Flavio Stazione Total Strada dei Pescatori 24a 35020 Codevigo PD"</f>
        <v>Lunardi Flavio Stazione Total Strada dei Pescatori 24a 35020 Codevigo PD</v>
      </c>
      <c r="P710" t="str">
        <f>"ZAB18803E3: [2826.30€ ]"</f>
        <v>ZAB18803E3: [2826.30€ ]</v>
      </c>
      <c r="Q710" t="str">
        <f>""</f>
        <v/>
      </c>
      <c r="R710" t="str">
        <f>""</f>
        <v/>
      </c>
      <c r="S710" t="str">
        <f>""</f>
        <v/>
      </c>
      <c r="T710" t="str">
        <f>"https://portaletrasparenza.consorziobacchiglione.it/dettagli/attodigara/151/fornitura-carburante-per-attrezzature-consorziali-anno-2016.html"</f>
        <v>https://portaletrasparenza.consorziobacchiglione.it/dettagli/attodigara/151/fornitura-carburante-per-attrezzature-consorziali-anno-2016.html</v>
      </c>
      <c r="U710" t="str">
        <f>""</f>
        <v/>
      </c>
      <c r="V710">
        <f>(SUBSTITUTE(Tabella1[[#This Row],[Importo di aggiudicazione]],".",","))-(SUBSTITUTE(  SUBSTITUTE(          SUBSTITUTE(Tabella1[[#This Row],[Dettaglio somme liquidate]],Tabella1[[#This Row],[CIG]]&amp;": [",""),"€ ]",""),".",","))</f>
        <v>50.75</v>
      </c>
    </row>
    <row r="711" spans="1:22" x14ac:dyDescent="0.3">
      <c r="A711" t="str">
        <f>"Affidamento"</f>
        <v>Affidamento</v>
      </c>
      <c r="B711" t="str">
        <f>"Fornitura carburante per attrezzature consorziali anno 2016"</f>
        <v>Fornitura carburante per attrezzature consorziali anno 2016</v>
      </c>
      <c r="C711" t="str">
        <f>"Z2C18813A9"</f>
        <v>Z2C18813A9</v>
      </c>
      <c r="D711" t="str">
        <f>"04/11/2021"</f>
        <v>04/11/2021</v>
      </c>
      <c r="E711" t="str">
        <f>""</f>
        <v/>
      </c>
      <c r="F711" t="str">
        <f>""</f>
        <v/>
      </c>
      <c r="G711" t="str">
        <f>"2459.02"</f>
        <v>2459.02</v>
      </c>
      <c r="H711" t="str">
        <f>"Consorzio di bonifica Bacchiglione"</f>
        <v>Consorzio di bonifica Bacchiglione</v>
      </c>
      <c r="I711" t="str">
        <f>"92223390284"</f>
        <v>92223390284</v>
      </c>
      <c r="J711" t="str">
        <f>"23-AFFIDAMENTO DIRETTO"</f>
        <v>23-AFFIDAMENTO DIRETTO</v>
      </c>
      <c r="K711" t="str">
        <f>"12/02/2021"</f>
        <v>12/02/2021</v>
      </c>
      <c r="L711" t="str">
        <f>"10/05/2021"</f>
        <v>10/05/2021</v>
      </c>
      <c r="M711" t="str">
        <f>""</f>
        <v/>
      </c>
      <c r="N711" t="str">
        <f>"Griggio Paolo stazione di servizio Major via Padova 3 35024 Bovolenta PD"</f>
        <v>Griggio Paolo stazione di servizio Major via Padova 3 35024 Bovolenta PD</v>
      </c>
      <c r="O711" t="str">
        <f>"Griggio Paolo stazione di servizio Major via Padova 3 35024 Bovolenta PD"</f>
        <v>Griggio Paolo stazione di servizio Major via Padova 3 35024 Bovolenta PD</v>
      </c>
      <c r="P711" t="str">
        <f>"Z2C18813A9: [1785.66€ ]"</f>
        <v>Z2C18813A9: [1785.66€ ]</v>
      </c>
      <c r="Q711" t="str">
        <f>""</f>
        <v/>
      </c>
      <c r="R711" t="str">
        <f>""</f>
        <v/>
      </c>
      <c r="S711" t="str">
        <f>""</f>
        <v/>
      </c>
      <c r="T711" t="str">
        <f>"https://portaletrasparenza.consorziobacchiglione.it/dettagli/attodigara/152/fornitura-carburante-per-attrezzature-consorziali-anno-2016.html"</f>
        <v>https://portaletrasparenza.consorziobacchiglione.it/dettagli/attodigara/152/fornitura-carburante-per-attrezzature-consorziali-anno-2016.html</v>
      </c>
      <c r="U711" t="str">
        <f>""</f>
        <v/>
      </c>
      <c r="V711">
        <f>(SUBSTITUTE(Tabella1[[#This Row],[Importo di aggiudicazione]],".",","))-(SUBSTITUTE(  SUBSTITUTE(          SUBSTITUTE(Tabella1[[#This Row],[Dettaglio somme liquidate]],Tabella1[[#This Row],[CIG]]&amp;": [",""),"€ ]",""),".",","))</f>
        <v>673.3599999999999</v>
      </c>
    </row>
    <row r="712" spans="1:22" x14ac:dyDescent="0.3">
      <c r="A712" t="str">
        <f>"Affidamento"</f>
        <v>Affidamento</v>
      </c>
      <c r="B712" t="str">
        <f>"PERFEZIONAMENTO DET. 726 DEL 28/09/20 PER LA FORNITURA N. 1 DACIA DOKKER VAN PER SUBENTRO VEICOLO USATO"</f>
        <v>PERFEZIONAMENTO DET. 726 DEL 28/09/20 PER LA FORNITURA N. 1 DACIA DOKKER VAN PER SUBENTRO VEICOLO USATO</v>
      </c>
      <c r="C712" t="str">
        <f>"ZE72E7B3EA"</f>
        <v>ZE72E7B3EA</v>
      </c>
      <c r="D712" t="str">
        <f>"16/02/2021"</f>
        <v>16/02/2021</v>
      </c>
      <c r="E712" t="str">
        <f>""</f>
        <v/>
      </c>
      <c r="F712" t="str">
        <f>""</f>
        <v/>
      </c>
      <c r="G712" t="str">
        <f>"409.84"</f>
        <v>409.84</v>
      </c>
      <c r="H712" t="str">
        <f>"CONSORZIO DI BONIFICA BACCHIGLIONE"</f>
        <v>CONSORZIO DI BONIFICA BACCHIGLIONE</v>
      </c>
      <c r="I712" t="str">
        <f>"92223390284"</f>
        <v>92223390284</v>
      </c>
      <c r="J712" t="str">
        <f>"23-AFFIDAMENTO DIRETTO"</f>
        <v>23-AFFIDAMENTO DIRETTO</v>
      </c>
      <c r="K712" t="str">
        <f>"12/02/2021"</f>
        <v>12/02/2021</v>
      </c>
      <c r="L712" t="str">
        <f>"08/04/2021"</f>
        <v>08/04/2021</v>
      </c>
      <c r="M712" t="str">
        <f>""</f>
        <v/>
      </c>
      <c r="N712" t="s">
        <v>120</v>
      </c>
      <c r="O712" t="str">
        <f>"AUTOBASE S.R.L."</f>
        <v>AUTOBASE S.R.L.</v>
      </c>
      <c r="P712" t="s">
        <v>134</v>
      </c>
      <c r="Q712" t="str">
        <f>""</f>
        <v/>
      </c>
      <c r="R712" t="str">
        <f>""</f>
        <v/>
      </c>
      <c r="S712" t="str">
        <f>""</f>
        <v/>
      </c>
      <c r="T712" t="str">
        <f>"https://portaletrasparenza.consorziobacchiglione.it/dettagli/attodigara/3881/perfezionamento-det-726-del-28-09-20-per-la-fornitura-n-1-dacia-dokker-van-per-subentro-veicolo-usato.html"</f>
        <v>https://portaletrasparenza.consorziobacchiglione.it/dettagli/attodigara/3881/perfezionamento-det-726-del-28-09-20-per-la-fornitura-n-1-dacia-dokker-van-per-subentro-veicolo-usato.html</v>
      </c>
      <c r="U712" t="str">
        <f>"https://portaletrasparenza.consorziobacchiglione.it/download/attodigara/3881/62a2097b56802.PDF,https://portaletrasparenza.consorziobacchiglione.it/download/attodigara/3881/62a208daa1752.PDF"</f>
        <v>https://portaletrasparenza.consorziobacchiglione.it/download/attodigara/3881/62a2097b56802.PDF,https://portaletrasparenza.consorziobacchiglione.it/download/attodigara/3881/62a208daa1752.PDF</v>
      </c>
      <c r="V7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13" spans="1:22" x14ac:dyDescent="0.3">
      <c r="A713" t="str">
        <f>"Affidamento"</f>
        <v>Affidamento</v>
      </c>
      <c r="B713" t="str">
        <f>"Smaltimento condensatori, codice Cer 16,02,15 non più utilizzabili e stoccati presso l'impianto di Santa Margherita di Codevigo"</f>
        <v>Smaltimento condensatori, codice Cer 16,02,15 non più utilizzabili e stoccati presso l'impianto di Santa Margherita di Codevigo</v>
      </c>
      <c r="C713" t="str">
        <f>"ZDF309E071"</f>
        <v>ZDF309E071</v>
      </c>
      <c r="D713" t="str">
        <f>"16/02/2021"</f>
        <v>16/02/2021</v>
      </c>
      <c r="E713" t="str">
        <f>""</f>
        <v/>
      </c>
      <c r="F713" t="str">
        <f>""</f>
        <v/>
      </c>
      <c r="G713" t="str">
        <f>"760.00"</f>
        <v>760.00</v>
      </c>
      <c r="H713" t="str">
        <f>"Consorzio di bonifica Bacchiglione"</f>
        <v>Consorzio di bonifica Bacchiglione</v>
      </c>
      <c r="I713" t="str">
        <f>"92223390284"</f>
        <v>92223390284</v>
      </c>
      <c r="J713" t="str">
        <f>"23-AFFIDAMENTO DIRETTO"</f>
        <v>23-AFFIDAMENTO DIRETTO</v>
      </c>
      <c r="K713" t="str">
        <f>"12/02/2021"</f>
        <v>12/02/2021</v>
      </c>
      <c r="L713" t="str">
        <f>"27/02/2021"</f>
        <v>27/02/2021</v>
      </c>
      <c r="M713" t="str">
        <f>""</f>
        <v/>
      </c>
      <c r="N713" t="str">
        <f>"F.lli Gardin S.R.L. Via Caovilla 16 Saonara PD"</f>
        <v>F.lli Gardin S.R.L. Via Caovilla 16 Saonara PD</v>
      </c>
      <c r="O713" t="str">
        <f>"F.lli Gardin S.R.L. Via Caovilla 16 Saonara PD"</f>
        <v>F.lli Gardin S.R.L. Via Caovilla 16 Saonara PD</v>
      </c>
      <c r="P713" t="str">
        <f>"ZDF309E071: [760.00€ ]"</f>
        <v>ZDF309E071: [760.00€ ]</v>
      </c>
      <c r="Q713" t="str">
        <f>""</f>
        <v/>
      </c>
      <c r="R713" t="str">
        <f>""</f>
        <v/>
      </c>
      <c r="S713" t="str">
        <f>""</f>
        <v/>
      </c>
      <c r="T713" t="str">
        <f>"https://portaletrasparenza.consorziobacchiglione.it/dettagli/attodigara/6628/smaltimento-condensatori-codice-cer-16-02-15-non-piu-utilizzabili-e-stoccati-presso-l-impianto-di-santa-margherita-di-codevigo.html"</f>
        <v>https://portaletrasparenza.consorziobacchiglione.it/dettagli/attodigara/6628/smaltimento-condensatori-codice-cer-16-02-15-non-piu-utilizzabili-e-stoccati-presso-l-impianto-di-santa-margherita-di-codevigo.html</v>
      </c>
      <c r="U713" t="str">
        <f>"https://portaletrasparenza.consorziobacchiglione.it/download/attodigara/6628/63ac455aa5e7a.PDF"</f>
        <v>https://portaletrasparenza.consorziobacchiglione.it/download/attodigara/6628/63ac455aa5e7a.PDF</v>
      </c>
      <c r="V7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14" spans="1:22" x14ac:dyDescent="0.3">
      <c r="A714" t="str">
        <f>"Affidamento"</f>
        <v>Affidamento</v>
      </c>
      <c r="B714" t="str">
        <f>"Riparazione e manutenzione mezzo con targa: DN881SC."</f>
        <v>Riparazione e manutenzione mezzo con targa: DN881SC.</v>
      </c>
      <c r="C714" t="str">
        <f>"ZE21962DC7"</f>
        <v>ZE21962DC7</v>
      </c>
      <c r="D714" t="str">
        <f>"04/11/2021"</f>
        <v>04/11/2021</v>
      </c>
      <c r="E714" t="str">
        <f>""</f>
        <v/>
      </c>
      <c r="F714" t="str">
        <f>""</f>
        <v/>
      </c>
      <c r="G714" t="str">
        <f>"95.59"</f>
        <v>95.59</v>
      </c>
      <c r="H714" t="str">
        <f>"Consorzio di bonifica Bacchiglione"</f>
        <v>Consorzio di bonifica Bacchiglione</v>
      </c>
      <c r="I714" t="str">
        <f>"92223390284"</f>
        <v>92223390284</v>
      </c>
      <c r="J714" t="str">
        <f>"23-AFFIDAMENTO DIRETTO"</f>
        <v>23-AFFIDAMENTO DIRETTO</v>
      </c>
      <c r="K714" t="str">
        <f>"12/04/2021"</f>
        <v>12/04/2021</v>
      </c>
      <c r="L714" t="str">
        <f>"03/05/2021"</f>
        <v>03/05/2021</v>
      </c>
      <c r="M714" t="str">
        <f>""</f>
        <v/>
      </c>
      <c r="N714" t="str">
        <f>"Mardegan F.lli s.n.c. Via Argine Destro 13A 35020 Brenta di Correzzola PD"</f>
        <v>Mardegan F.lli s.n.c. Via Argine Destro 13A 35020 Brenta di Correzzola PD</v>
      </c>
      <c r="O714" t="str">
        <f>"Mardegan F.lli s.n.c. Via Argine Destro 13A 35020 Brenta di Correzzola PD"</f>
        <v>Mardegan F.lli s.n.c. Via Argine Destro 13A 35020 Brenta di Correzzola PD</v>
      </c>
      <c r="P714" t="str">
        <f>"ZE21962DC7: [95.59€ ]"</f>
        <v>ZE21962DC7: [95.59€ ]</v>
      </c>
      <c r="Q714" t="str">
        <f>""</f>
        <v/>
      </c>
      <c r="R714" t="str">
        <f>""</f>
        <v/>
      </c>
      <c r="S714" t="str">
        <f>""</f>
        <v/>
      </c>
      <c r="T714" t="str">
        <f>"https://portaletrasparenza.consorziobacchiglione.it/dettagli/attodigara/321/riparazione-e-manutenzione-mezzo-con-targa-dn881sc.html"</f>
        <v>https://portaletrasparenza.consorziobacchiglione.it/dettagli/attodigara/321/riparazione-e-manutenzione-mezzo-con-targa-dn881sc.html</v>
      </c>
      <c r="U714" t="str">
        <f>""</f>
        <v/>
      </c>
      <c r="V71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15" spans="1:22" x14ac:dyDescent="0.3">
      <c r="A715" t="str">
        <f>"Affidamento"</f>
        <v>Affidamento</v>
      </c>
      <c r="B715" t="str">
        <f>"Riparazione e manutenzione cingolato R 900."</f>
        <v>Riparazione e manutenzione cingolato R 900.</v>
      </c>
      <c r="C715" t="str">
        <f>"Z8A1962C9C"</f>
        <v>Z8A1962C9C</v>
      </c>
      <c r="D715" t="str">
        <f>"04/11/2021"</f>
        <v>04/11/2021</v>
      </c>
      <c r="E715" t="str">
        <f>""</f>
        <v/>
      </c>
      <c r="F715" t="str">
        <f>""</f>
        <v/>
      </c>
      <c r="G715" t="str">
        <f>"1852.00"</f>
        <v>1852.00</v>
      </c>
      <c r="H715" t="str">
        <f>"Consorzio di bonifica Bacchiglione"</f>
        <v>Consorzio di bonifica Bacchiglione</v>
      </c>
      <c r="I715" t="str">
        <f>"92223390284"</f>
        <v>92223390284</v>
      </c>
      <c r="J715" t="str">
        <f>"23-AFFIDAMENTO DIRETTO"</f>
        <v>23-AFFIDAMENTO DIRETTO</v>
      </c>
      <c r="K715" t="str">
        <f>"12/04/2021"</f>
        <v>12/04/2021</v>
      </c>
      <c r="L715" t="str">
        <f>"26/05/2021"</f>
        <v>26/05/2021</v>
      </c>
      <c r="M715" t="str">
        <f>""</f>
        <v/>
      </c>
      <c r="N715" t="str">
        <f>"Adriatica Commerciale Macchine s.r.l. Via dell'Artigianato 5 35020 Due Carrare PD"</f>
        <v>Adriatica Commerciale Macchine s.r.l. Via dell'Artigianato 5 35020 Due Carrare PD</v>
      </c>
      <c r="O715" t="str">
        <f>"Adriatica Commerciale Macchine s.r.l. Via dell'Artigianato 5 35020 Due Carrare PD"</f>
        <v>Adriatica Commerciale Macchine s.r.l. Via dell'Artigianato 5 35020 Due Carrare PD</v>
      </c>
      <c r="P715" t="str">
        <f>"Z8A1962C9C: [1852.00€ ]"</f>
        <v>Z8A1962C9C: [1852.00€ ]</v>
      </c>
      <c r="Q715" t="str">
        <f>""</f>
        <v/>
      </c>
      <c r="R715" t="str">
        <f>""</f>
        <v/>
      </c>
      <c r="S715" t="str">
        <f>""</f>
        <v/>
      </c>
      <c r="T715" t="str">
        <f>"https://portaletrasparenza.consorziobacchiglione.it/dettagli/attodigara/320/riparazione-e-manutenzione-cingolato-r-900.html"</f>
        <v>https://portaletrasparenza.consorziobacchiglione.it/dettagli/attodigara/320/riparazione-e-manutenzione-cingolato-r-900.html</v>
      </c>
      <c r="U715" t="str">
        <f>""</f>
        <v/>
      </c>
      <c r="V71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16" spans="1:22" x14ac:dyDescent="0.3">
      <c r="A716" t="str">
        <f>"Affidamento"</f>
        <v>Affidamento</v>
      </c>
      <c r="B716" t="str">
        <f>"Fornitura n 2 tubi a bicchiere diametro da 40 per scolo Biancolino."</f>
        <v>Fornitura n 2 tubi a bicchiere diametro da 40 per scolo Biancolino.</v>
      </c>
      <c r="C716" t="str">
        <f>"ZE919629C8"</f>
        <v>ZE919629C8</v>
      </c>
      <c r="D716" t="str">
        <f>"04/11/2021"</f>
        <v>04/11/2021</v>
      </c>
      <c r="E716" t="str">
        <f>""</f>
        <v/>
      </c>
      <c r="F716" t="str">
        <f>""</f>
        <v/>
      </c>
      <c r="G716" t="str">
        <f>"38.40"</f>
        <v>38.40</v>
      </c>
      <c r="H716" t="str">
        <f>"Consorzio di bonifica Bacchiglione"</f>
        <v>Consorzio di bonifica Bacchiglione</v>
      </c>
      <c r="I716" t="str">
        <f>"92223390284"</f>
        <v>92223390284</v>
      </c>
      <c r="J716" t="str">
        <f>"23-AFFIDAMENTO DIRETTO"</f>
        <v>23-AFFIDAMENTO DIRETTO</v>
      </c>
      <c r="K716" t="str">
        <f>"12/04/2021"</f>
        <v>12/04/2021</v>
      </c>
      <c r="L716" t="str">
        <f>"26/05/2021"</f>
        <v>26/05/2021</v>
      </c>
      <c r="M716" t="str">
        <f>""</f>
        <v/>
      </c>
      <c r="N716" t="str">
        <f>"Manufatti Bedin Via delle Industrie 12 35020 Albignasego PD"</f>
        <v>Manufatti Bedin Via delle Industrie 12 35020 Albignasego PD</v>
      </c>
      <c r="O716" t="str">
        <f>"Manufatti Bedin Via delle Industrie 12 35020 Albignasego PD"</f>
        <v>Manufatti Bedin Via delle Industrie 12 35020 Albignasego PD</v>
      </c>
      <c r="P716" t="str">
        <f>"ZE919629C8: [38.40€ ]"</f>
        <v>ZE919629C8: [38.40€ ]</v>
      </c>
      <c r="Q716" t="str">
        <f>""</f>
        <v/>
      </c>
      <c r="R716" t="str">
        <f>""</f>
        <v/>
      </c>
      <c r="S716" t="str">
        <f>""</f>
        <v/>
      </c>
      <c r="T716" t="str">
        <f>"https://portaletrasparenza.consorziobacchiglione.it/dettagli/attodigara/318/fornitura-n-2-tubi-a-bicchiere-diametro-da-40-per-scolo-biancolino.html"</f>
        <v>https://portaletrasparenza.consorziobacchiglione.it/dettagli/attodigara/318/fornitura-n-2-tubi-a-bicchiere-diametro-da-40-per-scolo-biancolino.html</v>
      </c>
      <c r="U716" t="str">
        <f>""</f>
        <v/>
      </c>
      <c r="V71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17" spans="1:22" x14ac:dyDescent="0.3">
      <c r="A717" t="str">
        <f>"Affidamento"</f>
        <v>Affidamento</v>
      </c>
      <c r="B717" t="str">
        <f>"Noleggio escavatore da 160/170 Q. per lavoro scolo Menona e noleggio miniescavatore 50-60 Q. per lavoro scolo Bolzani."</f>
        <v>Noleggio escavatore da 160/170 Q. per lavoro scolo Menona e noleggio miniescavatore 50-60 Q. per lavoro scolo Bolzani.</v>
      </c>
      <c r="C717" t="str">
        <f>"Z0719627B2"</f>
        <v>Z0719627B2</v>
      </c>
      <c r="D717" t="str">
        <f>"04/11/2021"</f>
        <v>04/11/2021</v>
      </c>
      <c r="E717" t="str">
        <f>""</f>
        <v/>
      </c>
      <c r="F717" t="str">
        <f>""</f>
        <v/>
      </c>
      <c r="G717" t="str">
        <f>"3600.00"</f>
        <v>3600.00</v>
      </c>
      <c r="H717" t="str">
        <f>"Consorzio di bonifica Bacchiglione"</f>
        <v>Consorzio di bonifica Bacchiglione</v>
      </c>
      <c r="I717" t="str">
        <f>"92223390284"</f>
        <v>92223390284</v>
      </c>
      <c r="J717" t="str">
        <f>"23-AFFIDAMENTO DIRETTO"</f>
        <v>23-AFFIDAMENTO DIRETTO</v>
      </c>
      <c r="K717" t="str">
        <f>"12/04/2021"</f>
        <v>12/04/2021</v>
      </c>
      <c r="L717" t="str">
        <f>"18/05/2021"</f>
        <v>18/05/2021</v>
      </c>
      <c r="M717" t="str">
        <f>""</f>
        <v/>
      </c>
      <c r="N717" t="str">
        <f>"Sorme Noleggi s.a.s. Via Monache 21 35030 Selvazzano Dentro PD"</f>
        <v>Sorme Noleggi s.a.s. Via Monache 21 35030 Selvazzano Dentro PD</v>
      </c>
      <c r="O717" t="str">
        <f>"Sorme Noleggi s.a.s. Via Monache 21 35030 Selvazzano Dentro PD"</f>
        <v>Sorme Noleggi s.a.s. Via Monache 21 35030 Selvazzano Dentro PD</v>
      </c>
      <c r="P717" t="str">
        <f>"Z0719627B2: [3600.00€ ]"</f>
        <v>Z0719627B2: [3600.00€ ]</v>
      </c>
      <c r="Q717" t="str">
        <f>""</f>
        <v/>
      </c>
      <c r="R717" t="str">
        <f>""</f>
        <v/>
      </c>
      <c r="S717" t="str">
        <f>""</f>
        <v/>
      </c>
      <c r="T717" t="str">
        <f>"https://portaletrasparenza.consorziobacchiglione.it/dettagli/attodigara/317/noleggio-escavatore-da-160-170-q-per-lavoro-scolo-menona-e-noleggio-miniescavatore-50-60-q-per-lavoro-scolo-bolzani.html"</f>
        <v>https://portaletrasparenza.consorziobacchiglione.it/dettagli/attodigara/317/noleggio-escavatore-da-160-170-q-per-lavoro-scolo-menona-e-noleggio-miniescavatore-50-60-q-per-lavoro-scolo-bolzani.html</v>
      </c>
      <c r="U717" t="str">
        <f>""</f>
        <v/>
      </c>
      <c r="V71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18" spans="1:22" x14ac:dyDescent="0.3">
      <c r="A718" t="str">
        <f>"Affidamento"</f>
        <v>Affidamento</v>
      </c>
      <c r="B718" t="str">
        <f>"Somme a disposizione dell'amministrazione - Lavori di sistemazione della viabilità comunale presso Via Istria, Via Po' e Cavalcavia Camerini. - Processo ID 006-03."</f>
        <v>Somme a disposizione dell'amministrazione - Lavori di sistemazione della viabilità comunale presso Via Istria, Via Po' e Cavalcavia Camerini. - Processo ID 006-03.</v>
      </c>
      <c r="C718" t="str">
        <f>"Z7919663D6"</f>
        <v>Z7919663D6</v>
      </c>
      <c r="D718" t="str">
        <f>"04/11/2021"</f>
        <v>04/11/2021</v>
      </c>
      <c r="E718" t="str">
        <f>""</f>
        <v/>
      </c>
      <c r="F718" t="str">
        <f>""</f>
        <v/>
      </c>
      <c r="G718" t="str">
        <f>"39840.73"</f>
        <v>39840.73</v>
      </c>
      <c r="H718" t="str">
        <f>"Consorzio di bonifica Bacchiglione"</f>
        <v>Consorzio di bonifica Bacchiglione</v>
      </c>
      <c r="I718" t="str">
        <f>"92223390284"</f>
        <v>92223390284</v>
      </c>
      <c r="J718" t="str">
        <f>"23-AFFIDAMENTO DIRETTO"</f>
        <v>23-AFFIDAMENTO DIRETTO</v>
      </c>
      <c r="K718" t="str">
        <f>"12/04/2021"</f>
        <v>12/04/2021</v>
      </c>
      <c r="L718" t="str">
        <f>"17/06/2021"</f>
        <v>17/06/2021</v>
      </c>
      <c r="M718" t="str">
        <f>""</f>
        <v/>
      </c>
      <c r="N718" t="str">
        <f>"F.lli Collesei Srl | I.C.S. Impresa Conglomerati Strade | Ruffato Mario s.r.l."</f>
        <v>F.lli Collesei Srl | I.C.S. Impresa Conglomerati Strade | Ruffato Mario s.r.l.</v>
      </c>
      <c r="O718" t="str">
        <f>"I.C.S. Impresa Conglomerati Strade"</f>
        <v>I.C.S. Impresa Conglomerati Strade</v>
      </c>
      <c r="P718" t="str">
        <f>"Z7919663D6: [39840.73€ ]"</f>
        <v>Z7919663D6: [39840.73€ ]</v>
      </c>
      <c r="Q718" t="str">
        <f>""</f>
        <v/>
      </c>
      <c r="R718" t="str">
        <f>""</f>
        <v/>
      </c>
      <c r="S718" t="str">
        <f>""</f>
        <v/>
      </c>
      <c r="T718" t="str">
        <f>"https://portaletrasparenza.consorziobacchiglione.it/dettagli/attodigara/316/somme-a-disposizione-dell-amministrazione-lavori-di-sistemazione-della-viabilita-comunale-presso-via-istria-via-po-e-cavalcavia-camerini-processo-id-006-03.html"</f>
        <v>https://portaletrasparenza.consorziobacchiglione.it/dettagli/attodigara/316/somme-a-disposizione-dell-amministrazione-lavori-di-sistemazione-della-viabilita-comunale-presso-via-istria-via-po-e-cavalcavia-camerini-processo-id-006-03.html</v>
      </c>
      <c r="U718" t="str">
        <f>""</f>
        <v/>
      </c>
      <c r="V71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19" spans="1:22" x14ac:dyDescent="0.3">
      <c r="A719" t="str">
        <f>"Affidamento"</f>
        <v>Affidamento</v>
      </c>
      <c r="B719" t="str">
        <f>"Fornitura calcestruzzo per scolo Bolzani."</f>
        <v>Fornitura calcestruzzo per scolo Bolzani.</v>
      </c>
      <c r="C719" t="str">
        <f>"ZE41962B60"</f>
        <v>ZE41962B60</v>
      </c>
      <c r="D719" t="str">
        <f>"04/11/2021"</f>
        <v>04/11/2021</v>
      </c>
      <c r="E719" t="str">
        <f>""</f>
        <v/>
      </c>
      <c r="F719" t="str">
        <f>""</f>
        <v/>
      </c>
      <c r="G719" t="str">
        <f>"232.75"</f>
        <v>232.75</v>
      </c>
      <c r="H719" t="str">
        <f>"Consorzio di bonifica Bacchiglione"</f>
        <v>Consorzio di bonifica Bacchiglione</v>
      </c>
      <c r="I719" t="str">
        <f>"92223390284"</f>
        <v>92223390284</v>
      </c>
      <c r="J719" t="str">
        <f>"23-AFFIDAMENTO DIRETTO"</f>
        <v>23-AFFIDAMENTO DIRETTO</v>
      </c>
      <c r="K719" t="str">
        <f>"12/04/2021"</f>
        <v>12/04/2021</v>
      </c>
      <c r="L719" t="str">
        <f>"31/12/2021"</f>
        <v>31/12/2021</v>
      </c>
      <c r="M719" t="str">
        <f>""</f>
        <v/>
      </c>
      <c r="N719" t="str">
        <f>"Calcestruzzi Donà s.r.l. Via Fossalta 2 35025 Cartura PD"</f>
        <v>Calcestruzzi Donà s.r.l. Via Fossalta 2 35025 Cartura PD</v>
      </c>
      <c r="O719" t="str">
        <f>"Calcestruzzi Donà s.r.l. Via Fossalta 2 35025 Cartura PD"</f>
        <v>Calcestruzzi Donà s.r.l. Via Fossalta 2 35025 Cartura PD</v>
      </c>
      <c r="P719" t="str">
        <f>"ZE41962B60: [0.00€ ]"</f>
        <v>ZE41962B60: [0.00€ ]</v>
      </c>
      <c r="Q719" t="str">
        <f>""</f>
        <v/>
      </c>
      <c r="R719" t="str">
        <f>""</f>
        <v/>
      </c>
      <c r="S719" t="str">
        <f>""</f>
        <v/>
      </c>
      <c r="T719" t="str">
        <f>"https://portaletrasparenza.consorziobacchiglione.it/dettagli/attodigara/319/fornitura-calcestruzzo-per-scolo-bolzani.html"</f>
        <v>https://portaletrasparenza.consorziobacchiglione.it/dettagli/attodigara/319/fornitura-calcestruzzo-per-scolo-bolzani.html</v>
      </c>
      <c r="U719" t="str">
        <f>""</f>
        <v/>
      </c>
      <c r="V719">
        <f>(SUBSTITUTE(Tabella1[[#This Row],[Importo di aggiudicazione]],".",","))-(SUBSTITUTE(  SUBSTITUTE(          SUBSTITUTE(Tabella1[[#This Row],[Dettaglio somme liquidate]],Tabella1[[#This Row],[CIG]]&amp;": [",""),"€ ]",""),".",","))</f>
        <v>232.75</v>
      </c>
    </row>
    <row r="720" spans="1:22" x14ac:dyDescent="0.3">
      <c r="A720" t="str">
        <f>"Affidamento"</f>
        <v>Affidamento</v>
      </c>
      <c r="B720" t="str">
        <f>"Formazione in materia di appalti pubblici: Accesso agli atti e metodologia degli affidamenti."</f>
        <v>Formazione in materia di appalti pubblici: Accesso agli atti e metodologia degli affidamenti.</v>
      </c>
      <c r="C720" t="str">
        <f>"ZE231520E3"</f>
        <v>ZE231520E3</v>
      </c>
      <c r="D720" t="str">
        <f>"12/04/2021"</f>
        <v>12/04/2021</v>
      </c>
      <c r="E720" t="str">
        <f>""</f>
        <v/>
      </c>
      <c r="F720" t="str">
        <f>""</f>
        <v/>
      </c>
      <c r="G720" t="str">
        <f>"336.00"</f>
        <v>336.00</v>
      </c>
      <c r="H720" t="str">
        <f>"Consorzio di bonifica Bacchiglione"</f>
        <v>Consorzio di bonifica Bacchiglione</v>
      </c>
      <c r="I720" t="str">
        <f>"92223390284"</f>
        <v>92223390284</v>
      </c>
      <c r="J720" t="str">
        <f>"23-AFFIDAMENTO DIRETTO"</f>
        <v>23-AFFIDAMENTO DIRETTO</v>
      </c>
      <c r="K720" t="str">
        <f>"12/04/2021"</f>
        <v>12/04/2021</v>
      </c>
      <c r="L720" t="str">
        <f>"24/06/2021"</f>
        <v>24/06/2021</v>
      </c>
      <c r="M720" t="str">
        <f>""</f>
        <v/>
      </c>
      <c r="N720" t="str">
        <f>"APPALTIAMO S.R.L.S."</f>
        <v>APPALTIAMO S.R.L.S.</v>
      </c>
      <c r="O720" t="str">
        <f>"APPALTIAMO S.R.L.S."</f>
        <v>APPALTIAMO S.R.L.S.</v>
      </c>
      <c r="P720" t="str">
        <f>"ZE231520E3: [336.00€ ]"</f>
        <v>ZE231520E3: [336.00€ ]</v>
      </c>
      <c r="Q720" t="str">
        <f>""</f>
        <v/>
      </c>
      <c r="R720" t="str">
        <f>""</f>
        <v/>
      </c>
      <c r="S720" t="str">
        <f>""</f>
        <v/>
      </c>
      <c r="T720" t="str">
        <f>"https://portaletrasparenza.consorziobacchiglione.it/dettagli/attodigara/6788/formazione-in-materia-di-appalti-pubblici-accesso-agli-atti-e-metodologia-degli-affidamenti.html"</f>
        <v>https://portaletrasparenza.consorziobacchiglione.it/dettagli/attodigara/6788/formazione-in-materia-di-appalti-pubblici-accesso-agli-atti-e-metodologia-degli-affidamenti.html</v>
      </c>
      <c r="U720" t="str">
        <f>"https://portaletrasparenza.consorziobacchiglione.it/download/attodigara/6788/63ac457cdf125.PDF"</f>
        <v>https://portaletrasparenza.consorziobacchiglione.it/download/attodigara/6788/63ac457cdf125.PDF</v>
      </c>
      <c r="V72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21" spans="1:22" x14ac:dyDescent="0.3">
      <c r="A721" t="str">
        <f>"Affidamento"</f>
        <v>Affidamento</v>
      </c>
      <c r="B721" t="str">
        <f>"Fornitura pali in Castagno con punta lunghi MT 2,5 per Bacino Sesta Presa"</f>
        <v>Fornitura pali in Castagno con punta lunghi MT 2,5 per Bacino Sesta Presa</v>
      </c>
      <c r="C721" t="str">
        <f>"ZE8314EF85"</f>
        <v>ZE8314EF85</v>
      </c>
      <c r="D721" t="str">
        <f>"12/04/2021"</f>
        <v>12/04/2021</v>
      </c>
      <c r="E721" t="str">
        <f>""</f>
        <v/>
      </c>
      <c r="F721" t="str">
        <f>""</f>
        <v/>
      </c>
      <c r="G721" t="str">
        <f>"4475.00"</f>
        <v>4475.00</v>
      </c>
      <c r="H721" t="str">
        <f>"Consorzio di bonifica Bacchiglione"</f>
        <v>Consorzio di bonifica Bacchiglione</v>
      </c>
      <c r="I721" t="str">
        <f>"92223390284"</f>
        <v>92223390284</v>
      </c>
      <c r="J721" t="str">
        <f>"23-AFFIDAMENTO DIRETTO"</f>
        <v>23-AFFIDAMENTO DIRETTO</v>
      </c>
      <c r="K721" t="str">
        <f>"12/04/2021"</f>
        <v>12/04/2021</v>
      </c>
      <c r="L721" t="str">
        <f>"31/05/2021"</f>
        <v>31/05/2021</v>
      </c>
      <c r="M721" t="str">
        <f>""</f>
        <v/>
      </c>
      <c r="N721" t="str">
        <f>"Valmorbida Elio via S.Rocco 5 36030 Valli del Pasubio VI"</f>
        <v>Valmorbida Elio via S.Rocco 5 36030 Valli del Pasubio VI</v>
      </c>
      <c r="O721" t="str">
        <f>"Valmorbida Elio via S.Rocco 5 36030 Valli del Pasubio VI"</f>
        <v>Valmorbida Elio via S.Rocco 5 36030 Valli del Pasubio VI</v>
      </c>
      <c r="P721" t="str">
        <f>"ZE8314EF85: [4410.56€ ]"</f>
        <v>ZE8314EF85: [4410.56€ ]</v>
      </c>
      <c r="Q721" t="str">
        <f>""</f>
        <v/>
      </c>
      <c r="R721" t="str">
        <f>""</f>
        <v/>
      </c>
      <c r="S721" t="str">
        <f>""</f>
        <v/>
      </c>
      <c r="T721" t="str">
        <f>"https://portaletrasparenza.consorziobacchiglione.it/dettagli/attodigara/6789/fornitura-pali-in-castagno-con-punta-lunghi-mt-2-5-per-bacino-sesta-presa.html"</f>
        <v>https://portaletrasparenza.consorziobacchiglione.it/dettagli/attodigara/6789/fornitura-pali-in-castagno-con-punta-lunghi-mt-2-5-per-bacino-sesta-presa.html</v>
      </c>
      <c r="U721" t="str">
        <f>"https://portaletrasparenza.consorziobacchiglione.it/download/attodigara/6789/63ac457ca6585.PDF"</f>
        <v>https://portaletrasparenza.consorziobacchiglione.it/download/attodigara/6789/63ac457ca6585.PDF</v>
      </c>
      <c r="V721">
        <f>(SUBSTITUTE(Tabella1[[#This Row],[Importo di aggiudicazione]],".",","))-(SUBSTITUTE(  SUBSTITUTE(          SUBSTITUTE(Tabella1[[#This Row],[Dettaglio somme liquidate]],Tabella1[[#This Row],[CIG]]&amp;": [",""),"€ ]",""),".",","))</f>
        <v>64.4399999999996</v>
      </c>
    </row>
    <row r="722" spans="1:22" x14ac:dyDescent="0.3">
      <c r="A722" t="str">
        <f>"Affidamento"</f>
        <v>Affidamento</v>
      </c>
      <c r="B722" t="str">
        <f>"Fornitura materiale vario per Bacino Pratiarcati"</f>
        <v>Fornitura materiale vario per Bacino Pratiarcati</v>
      </c>
      <c r="C722" t="str">
        <f>"Z3F31504A4"</f>
        <v>Z3F31504A4</v>
      </c>
      <c r="D722" t="str">
        <f>"13/04/2021"</f>
        <v>13/04/2021</v>
      </c>
      <c r="E722" t="str">
        <f>""</f>
        <v/>
      </c>
      <c r="F722" t="str">
        <f>""</f>
        <v/>
      </c>
      <c r="G722" t="str">
        <f>"1447.84"</f>
        <v>1447.84</v>
      </c>
      <c r="H722" t="str">
        <f>"Consorzio di bonifica Bacchiglione"</f>
        <v>Consorzio di bonifica Bacchiglione</v>
      </c>
      <c r="I722" t="str">
        <f>"92223390284"</f>
        <v>92223390284</v>
      </c>
      <c r="J722" t="str">
        <f>"23-AFFIDAMENTO DIRETTO"</f>
        <v>23-AFFIDAMENTO DIRETTO</v>
      </c>
      <c r="K722" t="str">
        <f>"12/04/2021"</f>
        <v>12/04/2021</v>
      </c>
      <c r="L722" t="str">
        <f>"15/07/2021"</f>
        <v>15/07/2021</v>
      </c>
      <c r="M722" t="str">
        <f>""</f>
        <v/>
      </c>
      <c r="N722" t="str">
        <f>"Materiali Edili Fratelli Donà s.a.s. Via Fossalta 2 35025 Cartura PD"</f>
        <v>Materiali Edili Fratelli Donà s.a.s. Via Fossalta 2 35025 Cartura PD</v>
      </c>
      <c r="O722" t="str">
        <f>"Materiali Edili Fratelli Donà s.a.s. Via Fossalta 2 35025 Cartura PD"</f>
        <v>Materiali Edili Fratelli Donà s.a.s. Via Fossalta 2 35025 Cartura PD</v>
      </c>
      <c r="P722" t="s">
        <v>237</v>
      </c>
      <c r="Q722" t="str">
        <f>""</f>
        <v/>
      </c>
      <c r="R722" t="str">
        <f>""</f>
        <v/>
      </c>
      <c r="S722" t="str">
        <f>""</f>
        <v/>
      </c>
      <c r="T722" t="str">
        <f>"https://portaletrasparenza.consorziobacchiglione.it/dettagli/attodigara/6790/fornitura-materiale-vario-per-bacino-pratiarcati.html"</f>
        <v>https://portaletrasparenza.consorziobacchiglione.it/dettagli/attodigara/6790/fornitura-materiale-vario-per-bacino-pratiarcati.html</v>
      </c>
      <c r="U722" t="str">
        <f>"https://portaletrasparenza.consorziobacchiglione.it/download/attodigara/6790/63ac457d23760.PDF"</f>
        <v>https://portaletrasparenza.consorziobacchiglione.it/download/attodigara/6790/63ac457d23760.PDF</v>
      </c>
      <c r="V7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23" spans="1:22" x14ac:dyDescent="0.3">
      <c r="A723" t="str">
        <f>"Affidamento"</f>
        <v>Affidamento</v>
      </c>
      <c r="B723" t="str">
        <f>"INTERVENTI DI RESTAURO CONSERVATIVO SUI FABBRICATI CONSORZIALI DI VIA BRONZETTI (PORTA TRENTO) A PADOVA AFFIDAMENTO INCARICO DI RILIEVO TOPOGRAFICO E PROGETTAZIONE."</f>
        <v>INTERVENTI DI RESTAURO CONSERVATIVO SUI FABBRICATI CONSORZIALI DI VIA BRONZETTI (PORTA TRENTO) A PADOVA AFFIDAMENTO INCARICO DI RILIEVO TOPOGRAFICO E PROGETTAZIONE.</v>
      </c>
      <c r="C723" t="str">
        <f>"ZB719BBF8E"</f>
        <v>ZB719BBF8E</v>
      </c>
      <c r="D723" t="str">
        <f>"04/11/2021"</f>
        <v>04/11/2021</v>
      </c>
      <c r="E723" t="str">
        <f>""</f>
        <v/>
      </c>
      <c r="F723" t="str">
        <f>""</f>
        <v/>
      </c>
      <c r="G723" t="str">
        <f>"15500.00"</f>
        <v>15500.00</v>
      </c>
      <c r="H723" t="str">
        <f>"Consorzio di bonifica Bacchiglione"</f>
        <v>Consorzio di bonifica Bacchiglione</v>
      </c>
      <c r="I723" t="str">
        <f>"92223390284"</f>
        <v>92223390284</v>
      </c>
      <c r="J723" t="str">
        <f>"23-AFFIDAMENTO DIRETTO"</f>
        <v>23-AFFIDAMENTO DIRETTO</v>
      </c>
      <c r="K723" t="str">
        <f>"12/05/2021"</f>
        <v>12/05/2021</v>
      </c>
      <c r="L723" t="str">
        <f>"25/05/2021"</f>
        <v>25/05/2021</v>
      </c>
      <c r="M723" t="str">
        <f>""</f>
        <v/>
      </c>
      <c r="N723" t="str">
        <f>"Arch. Denis Compagno"</f>
        <v>Arch. Denis Compagno</v>
      </c>
      <c r="O723" t="str">
        <f>"Arch. Denis Compagno"</f>
        <v>Arch. Denis Compagno</v>
      </c>
      <c r="P723" t="s">
        <v>271</v>
      </c>
      <c r="Q723" t="str">
        <f>""</f>
        <v/>
      </c>
      <c r="R723" t="str">
        <f>""</f>
        <v/>
      </c>
      <c r="S723" t="str">
        <f>""</f>
        <v/>
      </c>
      <c r="T723" t="str">
        <f>"https://portaletrasparenza.consorziobacchiglione.it/dettagli/attodigara/14/interventi-di-restauro-conservativo-sui-fabbricati-consorziali-di-via-bronzetti-porta-trento-a-padova-affidamento-incarico-di-rilievo-topografico-e-progettazione.html"</f>
        <v>https://portaletrasparenza.consorziobacchiglione.it/dettagli/attodigara/14/interventi-di-restauro-conservativo-sui-fabbricati-consorziali-di-via-bronzetti-porta-trento-a-padova-affidamento-incarico-di-rilievo-topografico-e-progettazione.html</v>
      </c>
      <c r="U723" t="str">
        <f>""</f>
        <v/>
      </c>
      <c r="V7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24" spans="1:22" x14ac:dyDescent="0.3">
      <c r="A724" t="str">
        <f>"Affidamento"</f>
        <v>Affidamento</v>
      </c>
      <c r="B724" t="str">
        <f>"FORNITURA DI UN NUOVO MOTORE ELETTRICO PER L IMPIANTO IDROVORO DI SANTA MARGHERITA DI CODEVIGO"</f>
        <v>FORNITURA DI UN NUOVO MOTORE ELETTRICO PER L IMPIANTO IDROVORO DI SANTA MARGHERITA DI CODEVIGO</v>
      </c>
      <c r="C724" t="str">
        <f>"Z4E19D4FB8"</f>
        <v>Z4E19D4FB8</v>
      </c>
      <c r="D724" t="str">
        <f>"04/11/2021"</f>
        <v>04/11/2021</v>
      </c>
      <c r="E724" t="str">
        <f>""</f>
        <v/>
      </c>
      <c r="F724" t="str">
        <f>""</f>
        <v/>
      </c>
      <c r="G724" t="str">
        <f>"28680.00"</f>
        <v>28680.00</v>
      </c>
      <c r="H724" t="str">
        <f>"Consorzio di bonifica Bacchiglione"</f>
        <v>Consorzio di bonifica Bacchiglione</v>
      </c>
      <c r="I724" t="str">
        <f>"92223390284"</f>
        <v>92223390284</v>
      </c>
      <c r="J724" t="str">
        <f>"23-AFFIDAMENTO DIRETTO"</f>
        <v>23-AFFIDAMENTO DIRETTO</v>
      </c>
      <c r="K724" t="str">
        <f>"12/05/2021"</f>
        <v>12/05/2021</v>
      </c>
      <c r="L724" t="str">
        <f>"31/08/2021"</f>
        <v>31/08/2021</v>
      </c>
      <c r="M724" t="str">
        <f>""</f>
        <v/>
      </c>
      <c r="N724" t="str">
        <f>"ELETTROMECCANICA SCARPA SERGIO S.N.C. di Scarpa Paola E C. | M.V.R. S.P.A. | DIMEL S.A.S."</f>
        <v>ELETTROMECCANICA SCARPA SERGIO S.N.C. di Scarpa Paola E C. | M.V.R. S.P.A. | DIMEL S.A.S.</v>
      </c>
      <c r="O724" t="str">
        <f>"M.V.R. S.P.A."</f>
        <v>M.V.R. S.P.A.</v>
      </c>
      <c r="P724" t="str">
        <f>"Z4E19D4FB8: [28680.00€ ]"</f>
        <v>Z4E19D4FB8: [28680.00€ ]</v>
      </c>
      <c r="Q724" t="str">
        <f>""</f>
        <v/>
      </c>
      <c r="R724" t="str">
        <f>""</f>
        <v/>
      </c>
      <c r="S724" t="str">
        <f>""</f>
        <v/>
      </c>
      <c r="T724" t="str">
        <f>"https://portaletrasparenza.consorziobacchiglione.it/dettagli/attodigara/16/fornitura-di-un-nuovo-motore-elettrico-per-l-impianto-idrovoro-di-santa-margherita-di-codevigo.html"</f>
        <v>https://portaletrasparenza.consorziobacchiglione.it/dettagli/attodigara/16/fornitura-di-un-nuovo-motore-elettrico-per-l-impianto-idrovoro-di-santa-margherita-di-codevigo.html</v>
      </c>
      <c r="U724" t="str">
        <f>""</f>
        <v/>
      </c>
      <c r="V7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25" spans="1:22" x14ac:dyDescent="0.3">
      <c r="A725" t="str">
        <f>"Affidamento"</f>
        <v>Affidamento</v>
      </c>
      <c r="B725" t="str">
        <f>"Manutenzione e riparazione mezzi con targa: AKD221, AKS681"</f>
        <v>Manutenzione e riparazione mezzi con targa: AKD221, AKS681</v>
      </c>
      <c r="C725" t="str">
        <f>"ZF431AF617"</f>
        <v>ZF431AF617</v>
      </c>
      <c r="D725" t="str">
        <f>"12/05/2021"</f>
        <v>12/05/2021</v>
      </c>
      <c r="E725" t="str">
        <f>""</f>
        <v/>
      </c>
      <c r="F725" t="str">
        <f>""</f>
        <v/>
      </c>
      <c r="G725" t="str">
        <f>"4620.70"</f>
        <v>4620.70</v>
      </c>
      <c r="H725" t="str">
        <f>"Consorzio di bonifica Bacchiglione"</f>
        <v>Consorzio di bonifica Bacchiglione</v>
      </c>
      <c r="I725" t="str">
        <f>"92223390284"</f>
        <v>92223390284</v>
      </c>
      <c r="J725" t="str">
        <f>"23-AFFIDAMENTO DIRETTO"</f>
        <v>23-AFFIDAMENTO DIRETTO</v>
      </c>
      <c r="K725" t="str">
        <f>"12/05/2021"</f>
        <v>12/05/2021</v>
      </c>
      <c r="L725" t="str">
        <f>"14/05/2021"</f>
        <v>14/05/2021</v>
      </c>
      <c r="M725" t="str">
        <f>""</f>
        <v/>
      </c>
      <c r="N725" t="str">
        <f>"Gaiani Rino SAS di Gaiani Annalisa E C.Via Antoniana 102 35011 Campodarsego PD"</f>
        <v>Gaiani Rino SAS di Gaiani Annalisa E C.Via Antoniana 102 35011 Campodarsego PD</v>
      </c>
      <c r="O725" t="str">
        <f>"Gaiani Rino SAS di Gaiani Annalisa E C.Via Antoniana 102 35011 Campodarsego PD"</f>
        <v>Gaiani Rino SAS di Gaiani Annalisa E C.Via Antoniana 102 35011 Campodarsego PD</v>
      </c>
      <c r="P725" t="str">
        <f>"ZF431AF617: [4620.70€ ]"</f>
        <v>ZF431AF617: [4620.70€ ]</v>
      </c>
      <c r="Q725" t="str">
        <f>""</f>
        <v/>
      </c>
      <c r="R725" t="str">
        <f>""</f>
        <v/>
      </c>
      <c r="S725" t="str">
        <f>""</f>
        <v/>
      </c>
      <c r="T725" t="str">
        <f>"https://portaletrasparenza.consorziobacchiglione.it/dettagli/attodigara/6869/manutenzione-e-riparazione-mezzi-con-targa-akd221-aks681.html"</f>
        <v>https://portaletrasparenza.consorziobacchiglione.it/dettagli/attodigara/6869/manutenzione-e-riparazione-mezzi-con-targa-akd221-aks681.html</v>
      </c>
      <c r="U725" t="str">
        <f>"https://portaletrasparenza.consorziobacchiglione.it/download/attodigara/6869/63ac458a29363.PDF"</f>
        <v>https://portaletrasparenza.consorziobacchiglione.it/download/attodigara/6869/63ac458a29363.PDF</v>
      </c>
      <c r="V7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26" spans="1:22" x14ac:dyDescent="0.3">
      <c r="A726" t="str">
        <f>"Affidamento"</f>
        <v>Affidamento</v>
      </c>
      <c r="B726" t="str">
        <f>"Smontaggio II braccio e sfilo per sostituzione lamiera di rinforzo presso mezzo targato: AJR631"</f>
        <v>Smontaggio II braccio e sfilo per sostituzione lamiera di rinforzo presso mezzo targato: AJR631</v>
      </c>
      <c r="C726" t="str">
        <f>"ZD331AF023"</f>
        <v>ZD331AF023</v>
      </c>
      <c r="D726" t="str">
        <f>"12/05/2021"</f>
        <v>12/05/2021</v>
      </c>
      <c r="E726" t="str">
        <f>""</f>
        <v/>
      </c>
      <c r="F726" t="str">
        <f>""</f>
        <v/>
      </c>
      <c r="G726" t="str">
        <f>"780.00"</f>
        <v>780.00</v>
      </c>
      <c r="H726" t="str">
        <f>"Consorzio di bonifica Bacchiglione"</f>
        <v>Consorzio di bonifica Bacchiglione</v>
      </c>
      <c r="I726" t="str">
        <f>"92223390284"</f>
        <v>92223390284</v>
      </c>
      <c r="J726" t="str">
        <f>"23-AFFIDAMENTO DIRETTO"</f>
        <v>23-AFFIDAMENTO DIRETTO</v>
      </c>
      <c r="K726" t="str">
        <f>"12/05/2021"</f>
        <v>12/05/2021</v>
      </c>
      <c r="L726" t="str">
        <f>"13/05/2021"</f>
        <v>13/05/2021</v>
      </c>
      <c r="M726" t="str">
        <f>""</f>
        <v/>
      </c>
      <c r="N726" t="str">
        <f>"Hymach s.r.l. Viale del Commercio 73 45039 Stienta RO"</f>
        <v>Hymach s.r.l. Viale del Commercio 73 45039 Stienta RO</v>
      </c>
      <c r="O726" t="str">
        <f>"Hymach s.r.l. Viale del Commercio 73 45039 Stienta RO"</f>
        <v>Hymach s.r.l. Viale del Commercio 73 45039 Stienta RO</v>
      </c>
      <c r="P726" t="str">
        <f>"ZD331AF023: [780.00€ ]"</f>
        <v>ZD331AF023: [780.00€ ]</v>
      </c>
      <c r="Q726" t="str">
        <f>""</f>
        <v/>
      </c>
      <c r="R726" t="str">
        <f>""</f>
        <v/>
      </c>
      <c r="S726" t="str">
        <f>""</f>
        <v/>
      </c>
      <c r="T726" t="str">
        <f>"https://portaletrasparenza.consorziobacchiglione.it/dettagli/attodigara/6868/smontaggio-ii-braccio-e-sfilo-per-sostituzione-lamiera-di-rinforzo-presso-mezzo-targato-ajr631.html"</f>
        <v>https://portaletrasparenza.consorziobacchiglione.it/dettagli/attodigara/6868/smontaggio-ii-braccio-e-sfilo-per-sostituzione-lamiera-di-rinforzo-presso-mezzo-targato-ajr631.html</v>
      </c>
      <c r="U726" t="str">
        <f>"https://portaletrasparenza.consorziobacchiglione.it/download/attodigara/6868/63ac458a61b8a.PDF"</f>
        <v>https://portaletrasparenza.consorziobacchiglione.it/download/attodigara/6868/63ac458a61b8a.PDF</v>
      </c>
      <c r="V7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27" spans="1:22" x14ac:dyDescent="0.3">
      <c r="A727" t="str">
        <f>"Affidamento"</f>
        <v>Affidamento</v>
      </c>
      <c r="B727" t="str">
        <f>"Fornitura MC 4,00 di calcestruzzo RCK 300 S4 per lavori presso canaletta Irrigua di Lova"</f>
        <v>Fornitura MC 4,00 di calcestruzzo RCK 300 S4 per lavori presso canaletta Irrigua di Lova</v>
      </c>
      <c r="C727" t="str">
        <f>"ZDC31AFA68"</f>
        <v>ZDC31AFA68</v>
      </c>
      <c r="D727" t="str">
        <f>"12/05/2021"</f>
        <v>12/05/2021</v>
      </c>
      <c r="E727" t="str">
        <f>""</f>
        <v/>
      </c>
      <c r="F727" t="str">
        <f>""</f>
        <v/>
      </c>
      <c r="G727" t="str">
        <f>"289.00"</f>
        <v>289.00</v>
      </c>
      <c r="H727" t="str">
        <f>"Consorzio di bonifica Bacchiglione"</f>
        <v>Consorzio di bonifica Bacchiglione</v>
      </c>
      <c r="I727" t="str">
        <f>"92223390284"</f>
        <v>92223390284</v>
      </c>
      <c r="J727" t="str">
        <f>"23-AFFIDAMENTO DIRETTO"</f>
        <v>23-AFFIDAMENTO DIRETTO</v>
      </c>
      <c r="K727" t="str">
        <f>"12/05/2021"</f>
        <v>12/05/2021</v>
      </c>
      <c r="L727" t="str">
        <f>"31/05/2021"</f>
        <v>31/05/2021</v>
      </c>
      <c r="M727" t="str">
        <f>""</f>
        <v/>
      </c>
      <c r="N727" t="str">
        <f>"Zagolin Giovanni s.r.l. Via Gelsi 56 35028 Piove di Sacco PD"</f>
        <v>Zagolin Giovanni s.r.l. Via Gelsi 56 35028 Piove di Sacco PD</v>
      </c>
      <c r="O727" t="str">
        <f>"Zagolin Giovanni s.r.l. Via Gelsi 56 35028 Piove di Sacco PD"</f>
        <v>Zagolin Giovanni s.r.l. Via Gelsi 56 35028 Piove di Sacco PD</v>
      </c>
      <c r="P727" t="str">
        <f>"ZDC31AFA68: [0.00€ ]"</f>
        <v>ZDC31AFA68: [0.00€ ]</v>
      </c>
      <c r="Q727" t="str">
        <f>""</f>
        <v/>
      </c>
      <c r="R727" t="str">
        <f>""</f>
        <v/>
      </c>
      <c r="S727" t="str">
        <f>""</f>
        <v/>
      </c>
      <c r="T727" t="str">
        <f>"https://portaletrasparenza.consorziobacchiglione.it/dettagli/attodigara/6870/fornitura-mc-4-00-di-calcestruzzo-rck-300-s4-per-lavori-presso-canaletta-irrigua-di-lova.html"</f>
        <v>https://portaletrasparenza.consorziobacchiglione.it/dettagli/attodigara/6870/fornitura-mc-4-00-di-calcestruzzo-rck-300-s4-per-lavori-presso-canaletta-irrigua-di-lova.html</v>
      </c>
      <c r="U727" t="str">
        <f>"https://portaletrasparenza.consorziobacchiglione.it/download/attodigara/6870/62a209f57957b.PDF"</f>
        <v>https://portaletrasparenza.consorziobacchiglione.it/download/attodigara/6870/62a209f57957b.PDF</v>
      </c>
      <c r="V727">
        <f>(SUBSTITUTE(Tabella1[[#This Row],[Importo di aggiudicazione]],".",","))-(SUBSTITUTE(  SUBSTITUTE(          SUBSTITUTE(Tabella1[[#This Row],[Dettaglio somme liquidate]],Tabella1[[#This Row],[CIG]]&amp;": [",""),"€ ]",""),".",","))</f>
        <v>289</v>
      </c>
    </row>
    <row r="728" spans="1:22" x14ac:dyDescent="0.3">
      <c r="A728" t="str">
        <f>"Affidamento"</f>
        <v>Affidamento</v>
      </c>
      <c r="B728" t="str">
        <f>"Lavori di sfalcio erboso scolo Fiumicello da Ponte Sabbioni a Corte di Piove di Sacco."</f>
        <v>Lavori di sfalcio erboso scolo Fiumicello da Ponte Sabbioni a Corte di Piove di Sacco.</v>
      </c>
      <c r="C728" t="str">
        <f>"Z011A9788B"</f>
        <v>Z011A9788B</v>
      </c>
      <c r="D728" t="str">
        <f>"04/11/2021"</f>
        <v>04/11/2021</v>
      </c>
      <c r="E728" t="str">
        <f>""</f>
        <v/>
      </c>
      <c r="F728" t="str">
        <f>""</f>
        <v/>
      </c>
      <c r="G728" t="str">
        <f>"3718.00"</f>
        <v>3718.00</v>
      </c>
      <c r="H728" t="str">
        <f>"Consorzio di bonifica Bacchiglione"</f>
        <v>Consorzio di bonifica Bacchiglione</v>
      </c>
      <c r="I728" t="str">
        <f>"92223390284"</f>
        <v>92223390284</v>
      </c>
      <c r="J728" t="str">
        <f>"23-AFFIDAMENTO DIRETTO"</f>
        <v>23-AFFIDAMENTO DIRETTO</v>
      </c>
      <c r="K728" t="str">
        <f>"12/07/2021"</f>
        <v>12/07/2021</v>
      </c>
      <c r="L728" t="str">
        <f>"05/10/2021"</f>
        <v>05/10/2021</v>
      </c>
      <c r="M728" t="str">
        <f>""</f>
        <v/>
      </c>
      <c r="N728" t="str">
        <f>"Viale Valter Via 1° Maggio 124 30010 Campagna Lupia VE | Viale Nicola Via S.Marco 29 30010 Campagna Lupia VE"</f>
        <v>Viale Valter Via 1° Maggio 124 30010 Campagna Lupia VE | Viale Nicola Via S.Marco 29 30010 Campagna Lupia VE</v>
      </c>
      <c r="O728" t="str">
        <f>"Viale Nicola Via S.Marco 29 30010 Campagna Lupia VE"</f>
        <v>Viale Nicola Via S.Marco 29 30010 Campagna Lupia VE</v>
      </c>
      <c r="P728" t="str">
        <f>"Z011A9788B: [3718.00€ ]"</f>
        <v>Z011A9788B: [3718.00€ ]</v>
      </c>
      <c r="Q728" t="str">
        <f>""</f>
        <v/>
      </c>
      <c r="R728" t="str">
        <f>""</f>
        <v/>
      </c>
      <c r="S728" t="str">
        <f>""</f>
        <v/>
      </c>
      <c r="T728" t="str">
        <f>"https://portaletrasparenza.consorziobacchiglione.it/dettagli/attodigara/581/lavori-di-sfalcio-erboso-scolo-fiumicello-da-ponte-sabbioni-a-corte-di-piove-di-sacco.html"</f>
        <v>https://portaletrasparenza.consorziobacchiglione.it/dettagli/attodigara/581/lavori-di-sfalcio-erboso-scolo-fiumicello-da-ponte-sabbioni-a-corte-di-piove-di-sacco.html</v>
      </c>
      <c r="U728" t="str">
        <f>""</f>
        <v/>
      </c>
      <c r="V7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29" spans="1:22" x14ac:dyDescent="0.3">
      <c r="A729" t="str">
        <f>"Affidamento"</f>
        <v>Affidamento</v>
      </c>
      <c r="B729" t="str">
        <f>"Manutenzione e riparazione mezzo con targa: AJP870"</f>
        <v>Manutenzione e riparazione mezzo con targa: AJP870</v>
      </c>
      <c r="C729" t="str">
        <f>"Z9C1B233A1"</f>
        <v>Z9C1B233A1</v>
      </c>
      <c r="D729" t="str">
        <f>"04/11/2021"</f>
        <v>04/11/2021</v>
      </c>
      <c r="E729" t="str">
        <f>""</f>
        <v/>
      </c>
      <c r="F729" t="str">
        <f>""</f>
        <v/>
      </c>
      <c r="G729" t="str">
        <f>"550.00"</f>
        <v>550.00</v>
      </c>
      <c r="H729" t="str">
        <f>"Consorzio di bonifica Bacchiglione"</f>
        <v>Consorzio di bonifica Bacchiglione</v>
      </c>
      <c r="I729" t="str">
        <f>"92223390284"</f>
        <v>92223390284</v>
      </c>
      <c r="J729" t="str">
        <f>"23-AFFIDAMENTO DIRETTO"</f>
        <v>23-AFFIDAMENTO DIRETTO</v>
      </c>
      <c r="K729" t="str">
        <f>"12/09/2021"</f>
        <v>12/09/2021</v>
      </c>
      <c r="L729" t="str">
        <f>"09/11/2021"</f>
        <v>09/11/2021</v>
      </c>
      <c r="M729" t="str">
        <f>""</f>
        <v/>
      </c>
      <c r="N729" t="str">
        <f>"Adriatica Commerciale Macchine s.r.l. Via dell'Artigianato 5 35020 Due Carrare PD"</f>
        <v>Adriatica Commerciale Macchine s.r.l. Via dell'Artigianato 5 35020 Due Carrare PD</v>
      </c>
      <c r="O729" t="str">
        <f>"Adriatica Commerciale Macchine s.r.l. Via dell'Artigianato 5 35020 Due Carrare PD"</f>
        <v>Adriatica Commerciale Macchine s.r.l. Via dell'Artigianato 5 35020 Due Carrare PD</v>
      </c>
      <c r="P729" t="str">
        <f>"Z9C1B233A1: [550.00€ ]"</f>
        <v>Z9C1B233A1: [550.00€ ]</v>
      </c>
      <c r="Q729" t="str">
        <f>""</f>
        <v/>
      </c>
      <c r="R729" t="str">
        <f>""</f>
        <v/>
      </c>
      <c r="S729" t="str">
        <f>""</f>
        <v/>
      </c>
      <c r="T729" t="str">
        <f>"https://portaletrasparenza.consorziobacchiglione.it/dettagli/attodigara/733/manutenzione-e-riparazione-mezzo-con-targa-ajp870.html"</f>
        <v>https://portaletrasparenza.consorziobacchiglione.it/dettagli/attodigara/733/manutenzione-e-riparazione-mezzo-con-targa-ajp870.html</v>
      </c>
      <c r="U729" t="str">
        <f>""</f>
        <v/>
      </c>
      <c r="V7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30" spans="1:22" x14ac:dyDescent="0.3">
      <c r="A730" t="str">
        <f>"Affidamento"</f>
        <v>Affidamento</v>
      </c>
      <c r="B730" t="str">
        <f>"Montaggio sgancio rapido idraulico su mezzo con targa: AJP870"</f>
        <v>Montaggio sgancio rapido idraulico su mezzo con targa: AJP870</v>
      </c>
      <c r="C730" t="str">
        <f>"Z601B23325"</f>
        <v>Z601B23325</v>
      </c>
      <c r="D730" t="str">
        <f>"04/11/2021"</f>
        <v>04/11/2021</v>
      </c>
      <c r="E730" t="str">
        <f>""</f>
        <v/>
      </c>
      <c r="F730" t="str">
        <f>""</f>
        <v/>
      </c>
      <c r="G730" t="str">
        <f>"7576.00"</f>
        <v>7576.00</v>
      </c>
      <c r="H730" t="str">
        <f>"Consorzio di bonifica Bacchiglione"</f>
        <v>Consorzio di bonifica Bacchiglione</v>
      </c>
      <c r="I730" t="str">
        <f>"92223390284"</f>
        <v>92223390284</v>
      </c>
      <c r="J730" t="str">
        <f>"23-AFFIDAMENTO DIRETTO"</f>
        <v>23-AFFIDAMENTO DIRETTO</v>
      </c>
      <c r="K730" t="str">
        <f>"12/09/2021"</f>
        <v>12/09/2021</v>
      </c>
      <c r="L730" t="str">
        <f>"09/02/2021"</f>
        <v>09/02/2021</v>
      </c>
      <c r="M730" t="str">
        <f>""</f>
        <v/>
      </c>
      <c r="N730" t="str">
        <f>"Adriatica Commerciale Macchine s.r.l. Via dell'Artigianato 5 35020 Due Carrare PD"</f>
        <v>Adriatica Commerciale Macchine s.r.l. Via dell'Artigianato 5 35020 Due Carrare PD</v>
      </c>
      <c r="O730" t="str">
        <f>"Adriatica Commerciale Macchine s.r.l. Via dell'Artigianato 5 35020 Due Carrare PD"</f>
        <v>Adriatica Commerciale Macchine s.r.l. Via dell'Artigianato 5 35020 Due Carrare PD</v>
      </c>
      <c r="P730" t="str">
        <f>"Z601B23325: [7576.00€ ]"</f>
        <v>Z601B23325: [7576.00€ ]</v>
      </c>
      <c r="Q730" t="str">
        <f>""</f>
        <v/>
      </c>
      <c r="R730" t="str">
        <f>""</f>
        <v/>
      </c>
      <c r="S730" t="str">
        <f>""</f>
        <v/>
      </c>
      <c r="T730" t="str">
        <f>"https://portaletrasparenza.consorziobacchiglione.it/dettagli/attodigara/732/montaggio-sgancio-rapido-idraulico-su-mezzo-con-targa-ajp870.html"</f>
        <v>https://portaletrasparenza.consorziobacchiglione.it/dettagli/attodigara/732/montaggio-sgancio-rapido-idraulico-su-mezzo-con-targa-ajp870.html</v>
      </c>
      <c r="U730" t="str">
        <f>""</f>
        <v/>
      </c>
      <c r="V7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31" spans="1:22" x14ac:dyDescent="0.3">
      <c r="A731" t="str">
        <f>"Affidamento"</f>
        <v>Affidamento</v>
      </c>
      <c r="B731" t="str">
        <f>"Fornitura vestiario da lavoro per personale di campagna."</f>
        <v>Fornitura vestiario da lavoro per personale di campagna.</v>
      </c>
      <c r="C731" t="str">
        <f>"Z1E1B23206"</f>
        <v>Z1E1B23206</v>
      </c>
      <c r="D731" t="str">
        <f>"04/11/2021"</f>
        <v>04/11/2021</v>
      </c>
      <c r="E731" t="str">
        <f>""</f>
        <v/>
      </c>
      <c r="F731" t="str">
        <f>""</f>
        <v/>
      </c>
      <c r="G731" t="str">
        <f>"7213.00"</f>
        <v>7213.00</v>
      </c>
      <c r="H731" t="str">
        <f>"Consorzio di bonifica Bacchiglione"</f>
        <v>Consorzio di bonifica Bacchiglione</v>
      </c>
      <c r="I731" t="str">
        <f>"92223390284"</f>
        <v>92223390284</v>
      </c>
      <c r="J731" t="str">
        <f>"23-AFFIDAMENTO DIRETTO"</f>
        <v>23-AFFIDAMENTO DIRETTO</v>
      </c>
      <c r="K731" t="str">
        <f>"12/09/2021"</f>
        <v>12/09/2021</v>
      </c>
      <c r="L731" t="str">
        <f>"05/01/2021"</f>
        <v>05/01/2021</v>
      </c>
      <c r="M731" t="str">
        <f>""</f>
        <v/>
      </c>
      <c r="N731" t="str">
        <f>"SIR Safety System S.p.A. Zona Industriale S. Maria degli Angeli 06088 Assisi PG"</f>
        <v>SIR Safety System S.p.A. Zona Industriale S. Maria degli Angeli 06088 Assisi PG</v>
      </c>
      <c r="O731" t="str">
        <f>"SIR Safety System S.p.A. Zona Industriale S. Maria degli Angeli 06088 Assisi PG"</f>
        <v>SIR Safety System S.p.A. Zona Industriale S. Maria degli Angeli 06088 Assisi PG</v>
      </c>
      <c r="P731" t="str">
        <f>"Z1E1B23206: [7213.00€ ]"</f>
        <v>Z1E1B23206: [7213.00€ ]</v>
      </c>
      <c r="Q731" t="str">
        <f>""</f>
        <v/>
      </c>
      <c r="R731" t="str">
        <f>""</f>
        <v/>
      </c>
      <c r="S731" t="str">
        <f>""</f>
        <v/>
      </c>
      <c r="T731" t="str">
        <f>"https://portaletrasparenza.consorziobacchiglione.it/dettagli/attodigara/731/fornitura-vestiario-da-lavoro-per-personale-di-campagna.html"</f>
        <v>https://portaletrasparenza.consorziobacchiglione.it/dettagli/attodigara/731/fornitura-vestiario-da-lavoro-per-personale-di-campagna.html</v>
      </c>
      <c r="U731" t="str">
        <f>""</f>
        <v/>
      </c>
      <c r="V7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32" spans="1:22" x14ac:dyDescent="0.3">
      <c r="A732" t="str">
        <f>"Affidamento"</f>
        <v>Affidamento</v>
      </c>
      <c r="B732" t="str">
        <f>"Lavoro di riparazione e manutenzione mezzi con targa: PDAH662, G.E. n1 Idrovora di Cambroso, motobarca n 1-2-5."</f>
        <v>Lavoro di riparazione e manutenzione mezzi con targa: PDAH662, G.E. n1 Idrovora di Cambroso, motobarca n 1-2-5.</v>
      </c>
      <c r="C732" t="str">
        <f>"Z8D1B23091"</f>
        <v>Z8D1B23091</v>
      </c>
      <c r="D732" t="str">
        <f>"04/11/2021"</f>
        <v>04/11/2021</v>
      </c>
      <c r="E732" t="str">
        <f>""</f>
        <v/>
      </c>
      <c r="F732" t="str">
        <f>""</f>
        <v/>
      </c>
      <c r="G732" t="str">
        <f>"941.50"</f>
        <v>941.50</v>
      </c>
      <c r="H732" t="str">
        <f>"Consorzio di bonifica Bacchiglione"</f>
        <v>Consorzio di bonifica Bacchiglione</v>
      </c>
      <c r="I732" t="str">
        <f>"92223390284"</f>
        <v>92223390284</v>
      </c>
      <c r="J732" t="str">
        <f>"23-AFFIDAMENTO DIRETTO"</f>
        <v>23-AFFIDAMENTO DIRETTO</v>
      </c>
      <c r="K732" t="str">
        <f>"12/09/2021"</f>
        <v>12/09/2021</v>
      </c>
      <c r="L732" t="str">
        <f>"30/11/2021"</f>
        <v>30/11/2021</v>
      </c>
      <c r="M732" t="str">
        <f>""</f>
        <v/>
      </c>
      <c r="N732" t="str">
        <f>"Officina Biesse S.n.c. Via Matteotti 24 35020 Arzergrande PD"</f>
        <v>Officina Biesse S.n.c. Via Matteotti 24 35020 Arzergrande PD</v>
      </c>
      <c r="O732" t="str">
        <f>"Officina Biesse S.n.c. Via Matteotti 24 35020 Arzergrande PD"</f>
        <v>Officina Biesse S.n.c. Via Matteotti 24 35020 Arzergrande PD</v>
      </c>
      <c r="P732" t="str">
        <f>"Z8D1B23091: [941.50€ ]"</f>
        <v>Z8D1B23091: [941.50€ ]</v>
      </c>
      <c r="Q732" t="str">
        <f>""</f>
        <v/>
      </c>
      <c r="R732" t="str">
        <f>""</f>
        <v/>
      </c>
      <c r="S732" t="str">
        <f>""</f>
        <v/>
      </c>
      <c r="T732" t="str">
        <f>"https://portaletrasparenza.consorziobacchiglione.it/dettagli/attodigara/730/lavoro-di-riparazione-e-manutenzione-mezzi-con-targa-pdah662-g-e-n1-idrovora-di-cambroso-motobarca-n-1-2-5.html"</f>
        <v>https://portaletrasparenza.consorziobacchiglione.it/dettagli/attodigara/730/lavoro-di-riparazione-e-manutenzione-mezzi-con-targa-pdah662-g-e-n1-idrovora-di-cambroso-motobarca-n-1-2-5.html</v>
      </c>
      <c r="U732" t="str">
        <f>""</f>
        <v/>
      </c>
      <c r="V7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33" spans="1:22" x14ac:dyDescent="0.3">
      <c r="A733" t="str">
        <f>"Affidamento"</f>
        <v>Affidamento</v>
      </c>
      <c r="B733" t="str">
        <f>"Manutenzione generatori di calore Impianti Sede Consorziale."</f>
        <v>Manutenzione generatori di calore Impianti Sede Consorziale.</v>
      </c>
      <c r="C733" t="str">
        <f>"ZE31B8BFC2"</f>
        <v>ZE31B8BFC2</v>
      </c>
      <c r="D733" t="str">
        <f>"04/11/2021"</f>
        <v>04/11/2021</v>
      </c>
      <c r="E733" t="str">
        <f>""</f>
        <v/>
      </c>
      <c r="F733" t="str">
        <f>""</f>
        <v/>
      </c>
      <c r="G733" t="str">
        <f>"250.00"</f>
        <v>250.00</v>
      </c>
      <c r="H733" t="str">
        <f>"Consorzio di bonifica Bacchiglione"</f>
        <v>Consorzio di bonifica Bacchiglione</v>
      </c>
      <c r="I733" t="str">
        <f>"92223390284"</f>
        <v>92223390284</v>
      </c>
      <c r="J733" t="str">
        <f>"23-AFFIDAMENTO DIRETTO"</f>
        <v>23-AFFIDAMENTO DIRETTO</v>
      </c>
      <c r="K733" t="str">
        <f>"12/10/2021"</f>
        <v>12/10/2021</v>
      </c>
      <c r="L733" t="str">
        <f>"04/01/2021"</f>
        <v>04/01/2021</v>
      </c>
      <c r="M733" t="str">
        <f>""</f>
        <v/>
      </c>
      <c r="N733" t="str">
        <f>"Giraldo Impianti SNC di Giraldo Danilo e Silvio Via Flli Cervi 1-II 30010 Campolongo Maggiore VE"</f>
        <v>Giraldo Impianti SNC di Giraldo Danilo e Silvio Via Flli Cervi 1-II 30010 Campolongo Maggiore VE</v>
      </c>
      <c r="O733" t="str">
        <f>"Giraldo Impianti SNC di Giraldo Danilo e Silvio Via Flli Cervi 1-II 30010 Campolongo Maggiore VE"</f>
        <v>Giraldo Impianti SNC di Giraldo Danilo e Silvio Via Flli Cervi 1-II 30010 Campolongo Maggiore VE</v>
      </c>
      <c r="P733" t="str">
        <f>"ZE31B8BFC2: [250.00€ ]"</f>
        <v>ZE31B8BFC2: [250.00€ ]</v>
      </c>
      <c r="Q733" t="str">
        <f>""</f>
        <v/>
      </c>
      <c r="R733" t="str">
        <f>""</f>
        <v/>
      </c>
      <c r="S733" t="str">
        <f>""</f>
        <v/>
      </c>
      <c r="T733" t="str">
        <f>"https://portaletrasparenza.consorziobacchiglione.it/dettagli/attodigara/819/manutenzione-generatori-di-calore-impianti-sede-consorziale.html"</f>
        <v>https://portaletrasparenza.consorziobacchiglione.it/dettagli/attodigara/819/manutenzione-generatori-di-calore-impianti-sede-consorziale.html</v>
      </c>
      <c r="U733" t="str">
        <f>""</f>
        <v/>
      </c>
      <c r="V7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34" spans="1:22" x14ac:dyDescent="0.3">
      <c r="A734" t="str">
        <f>"Affidamento"</f>
        <v>Affidamento</v>
      </c>
      <c r="B734" t="str">
        <f>"Manutenzione e riparazione mezzo con targa. AKD221"</f>
        <v>Manutenzione e riparazione mezzo con targa. AKD221</v>
      </c>
      <c r="C734" t="str">
        <f>"Z151B8B847"</f>
        <v>Z151B8B847</v>
      </c>
      <c r="D734" t="str">
        <f>"04/11/2021"</f>
        <v>04/11/2021</v>
      </c>
      <c r="E734" t="str">
        <f>""</f>
        <v/>
      </c>
      <c r="F734" t="str">
        <f>""</f>
        <v/>
      </c>
      <c r="G734" t="str">
        <f>"262.00"</f>
        <v>262.00</v>
      </c>
      <c r="H734" t="str">
        <f>"Consorzio di bonifica Bacchiglione"</f>
        <v>Consorzio di bonifica Bacchiglione</v>
      </c>
      <c r="I734" t="str">
        <f>"92223390284"</f>
        <v>92223390284</v>
      </c>
      <c r="J734" t="str">
        <f>"23-AFFIDAMENTO DIRETTO"</f>
        <v>23-AFFIDAMENTO DIRETTO</v>
      </c>
      <c r="K734" t="str">
        <f>"12/10/2021"</f>
        <v>12/10/2021</v>
      </c>
      <c r="L734" t="str">
        <f>"15/11/2021"</f>
        <v>15/11/2021</v>
      </c>
      <c r="M734" t="str">
        <f>""</f>
        <v/>
      </c>
      <c r="N734" t="str">
        <f>"Agristop SAS di Gaiani Annalisa E C. Via Antoniana 35011 Campodarsego PD"</f>
        <v>Agristop SAS di Gaiani Annalisa E C. Via Antoniana 35011 Campodarsego PD</v>
      </c>
      <c r="O734" t="str">
        <f>"Agristop SAS di Gaiani Annalisa E C. Via Antoniana 35011 Campodarsego PD"</f>
        <v>Agristop SAS di Gaiani Annalisa E C. Via Antoniana 35011 Campodarsego PD</v>
      </c>
      <c r="P734" t="str">
        <f>"Z151B8B847: [262.00€ ]"</f>
        <v>Z151B8B847: [262.00€ ]</v>
      </c>
      <c r="Q734" t="str">
        <f>""</f>
        <v/>
      </c>
      <c r="R734" t="str">
        <f>""</f>
        <v/>
      </c>
      <c r="S734" t="str">
        <f>""</f>
        <v/>
      </c>
      <c r="T734" t="str">
        <f>"https://portaletrasparenza.consorziobacchiglione.it/dettagli/attodigara/818/manutenzione-e-riparazione-mezzo-con-targa-akd221.html"</f>
        <v>https://portaletrasparenza.consorziobacchiglione.it/dettagli/attodigara/818/manutenzione-e-riparazione-mezzo-con-targa-akd221.html</v>
      </c>
      <c r="U734" t="str">
        <f>""</f>
        <v/>
      </c>
      <c r="V7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35" spans="1:22" x14ac:dyDescent="0.3">
      <c r="A735" t="str">
        <f>"Affidamento"</f>
        <v>Affidamento</v>
      </c>
      <c r="B735" t="str">
        <f>"Fornitura macchina decespugliatrice professionale ILF S1500 - affidamento alla soc. Energreen s.r.l. con procedura negoziata senza previa pubblicazione bando ex art. 63, comma 2, lett. b), nn. 2-3, del D.Lgs. n. 50/2016"</f>
        <v>Fornitura macchina decespugliatrice professionale ILF S1500 - affidamento alla soc. Energreen s.r.l. con procedura negoziata senza previa pubblicazione bando ex art. 63, comma 2, lett. b), nn. 2-3, del D.Lgs. n. 50/2016</v>
      </c>
      <c r="C735" t="str">
        <f>"681259071C"</f>
        <v>681259071C</v>
      </c>
      <c r="D735" t="str">
        <f>"04/11/2021"</f>
        <v>04/11/2021</v>
      </c>
      <c r="E735" t="str">
        <f>""</f>
        <v/>
      </c>
      <c r="F735" t="str">
        <f>""</f>
        <v/>
      </c>
      <c r="G735" t="str">
        <f>"127000.00"</f>
        <v>127000.00</v>
      </c>
      <c r="H735" t="str">
        <f>"Consorzio di bonifica Bacchiglione"</f>
        <v>Consorzio di bonifica Bacchiglione</v>
      </c>
      <c r="I735" t="str">
        <f>"92223390284"</f>
        <v>92223390284</v>
      </c>
      <c r="J735" t="str">
        <f>"04-PROCEDURA NEGOZIATA SENZA PREVIA PUBBLICAZIONE"</f>
        <v>04-PROCEDURA NEGOZIATA SENZA PREVIA PUBBLICAZIONE</v>
      </c>
      <c r="K735" t="str">
        <f>"12/10/2021"</f>
        <v>12/10/2021</v>
      </c>
      <c r="L735" t="str">
        <f>"01/02/2021"</f>
        <v>01/02/2021</v>
      </c>
      <c r="M735" t="str">
        <f>""</f>
        <v/>
      </c>
      <c r="N735" t="str">
        <f>"Energreen S.R.L. Macchine Professionali"</f>
        <v>Energreen S.R.L. Macchine Professionali</v>
      </c>
      <c r="O735" t="str">
        <f>"Energreen S.R.L. Macchine Professionali"</f>
        <v>Energreen S.R.L. Macchine Professionali</v>
      </c>
      <c r="P735" t="str">
        <f>"681259071C: [127000.00€ ]"</f>
        <v>681259071C: [127000.00€ ]</v>
      </c>
      <c r="Q735" t="str">
        <f>""</f>
        <v/>
      </c>
      <c r="R735" t="str">
        <f>""</f>
        <v/>
      </c>
      <c r="S735" t="str">
        <f>""</f>
        <v/>
      </c>
      <c r="T735" t="s">
        <v>65</v>
      </c>
      <c r="U735" t="str">
        <f>""</f>
        <v/>
      </c>
      <c r="V7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36" spans="1:22" x14ac:dyDescent="0.3">
      <c r="A736" t="str">
        <f>"Affidamento"</f>
        <v>Affidamento</v>
      </c>
      <c r="B736" t="str">
        <f>"Manutenzione e riparazione mezzi con targa: PDAH521, AKB005, motobarca n.1 e n.5"</f>
        <v>Manutenzione e riparazione mezzi con targa: PDAH521, AKB005, motobarca n.1 e n.5</v>
      </c>
      <c r="C736" t="str">
        <f>"ZC5336A404"</f>
        <v>ZC5336A404</v>
      </c>
      <c r="D736" t="str">
        <f>"13/10/2021"</f>
        <v>13/10/2021</v>
      </c>
      <c r="E736" t="str">
        <f>""</f>
        <v/>
      </c>
      <c r="F736" t="str">
        <f>""</f>
        <v/>
      </c>
      <c r="G736" t="str">
        <f>"11401.23"</f>
        <v>11401.23</v>
      </c>
      <c r="H736" t="str">
        <f>"Consorzio di bonifica Bacchiglione"</f>
        <v>Consorzio di bonifica Bacchiglione</v>
      </c>
      <c r="I736" t="str">
        <f>"92223390284"</f>
        <v>92223390284</v>
      </c>
      <c r="J736" t="str">
        <f>"23-AFFIDAMENTO DIRETTO"</f>
        <v>23-AFFIDAMENTO DIRETTO</v>
      </c>
      <c r="K736" t="str">
        <f>"12/10/2021"</f>
        <v>12/10/2021</v>
      </c>
      <c r="L736" t="str">
        <f>"08/11/2021"</f>
        <v>08/11/2021</v>
      </c>
      <c r="M736" t="str">
        <f>""</f>
        <v/>
      </c>
      <c r="N736" t="str">
        <f>"Officina Biesse S.n.c. Via Matteotti 24 35020 Arzergrande PD"</f>
        <v>Officina Biesse S.n.c. Via Matteotti 24 35020 Arzergrande PD</v>
      </c>
      <c r="O736" t="str">
        <f>"Officina Biesse S.n.c. Via Matteotti 24 35020 Arzergrande PD"</f>
        <v>Officina Biesse S.n.c. Via Matteotti 24 35020 Arzergrande PD</v>
      </c>
      <c r="P736" t="s">
        <v>372</v>
      </c>
      <c r="Q736" t="str">
        <f>""</f>
        <v/>
      </c>
      <c r="R736" t="str">
        <f>""</f>
        <v/>
      </c>
      <c r="S736" t="str">
        <f>""</f>
        <v/>
      </c>
      <c r="T736" t="str">
        <f>"https://portaletrasparenza.consorziobacchiglione.it/dettagli/attodigara/7207/manutenzione-e-riparazione-mezzi-con-targa-pdah521-akb005-motobarca-n-1-e-n-5.html"</f>
        <v>https://portaletrasparenza.consorziobacchiglione.it/dettagli/attodigara/7207/manutenzione-e-riparazione-mezzi-con-targa-pdah521-akb005-motobarca-n-1-e-n-5.html</v>
      </c>
      <c r="U736" t="str">
        <f>"https://portaletrasparenza.consorziobacchiglione.it/download/attodigara/7207/63ac45d93271e.PDF"</f>
        <v>https://portaletrasparenza.consorziobacchiglione.it/download/attodigara/7207/63ac45d93271e.PDF</v>
      </c>
      <c r="V7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37" spans="1:22" x14ac:dyDescent="0.3">
      <c r="A737" t="str">
        <f>"Affidamento"</f>
        <v>Affidamento</v>
      </c>
      <c r="B737" t="str">
        <f>"Manutenzione e riparazione mezzo con targa: AGK711"</f>
        <v>Manutenzione e riparazione mezzo con targa: AGK711</v>
      </c>
      <c r="C737" t="str">
        <f>"ZBD336C13C"</f>
        <v>ZBD336C13C</v>
      </c>
      <c r="D737" t="str">
        <f>"13/10/2021"</f>
        <v>13/10/2021</v>
      </c>
      <c r="E737" t="str">
        <f>""</f>
        <v/>
      </c>
      <c r="F737" t="str">
        <f>""</f>
        <v/>
      </c>
      <c r="G737" t="str">
        <f>"737.86"</f>
        <v>737.86</v>
      </c>
      <c r="H737" t="str">
        <f>"Consorzio di bonifica Bacchiglione"</f>
        <v>Consorzio di bonifica Bacchiglione</v>
      </c>
      <c r="I737" t="str">
        <f>"92223390284"</f>
        <v>92223390284</v>
      </c>
      <c r="J737" t="str">
        <f>"23-AFFIDAMENTO DIRETTO"</f>
        <v>23-AFFIDAMENTO DIRETTO</v>
      </c>
      <c r="K737" t="str">
        <f>"12/10/2021"</f>
        <v>12/10/2021</v>
      </c>
      <c r="L737" t="str">
        <f>"22/11/2021"</f>
        <v>22/11/2021</v>
      </c>
      <c r="M737" t="str">
        <f>""</f>
        <v/>
      </c>
      <c r="N737" t="str">
        <f>"Adriatica Commerciale Macchine s.r.l. Via dell'Artigianato 5 35020 Due Carrare PD"</f>
        <v>Adriatica Commerciale Macchine s.r.l. Via dell'Artigianato 5 35020 Due Carrare PD</v>
      </c>
      <c r="O737" t="str">
        <f>"Adriatica Commerciale Macchine s.r.l. Via dell'Artigianato 5 35020 Due Carrare PD"</f>
        <v>Adriatica Commerciale Macchine s.r.l. Via dell'Artigianato 5 35020 Due Carrare PD</v>
      </c>
      <c r="P737" t="str">
        <f>"ZBD336C13C: [737.86€ ]"</f>
        <v>ZBD336C13C: [737.86€ ]</v>
      </c>
      <c r="Q737" t="str">
        <f>""</f>
        <v/>
      </c>
      <c r="R737" t="str">
        <f>""</f>
        <v/>
      </c>
      <c r="S737" t="str">
        <f>""</f>
        <v/>
      </c>
      <c r="T737" t="str">
        <f>"https://portaletrasparenza.consorziobacchiglione.it/dettagli/attodigara/7209/manutenzione-e-riparazione-mezzo-con-targa-agk711.html"</f>
        <v>https://portaletrasparenza.consorziobacchiglione.it/dettagli/attodigara/7209/manutenzione-e-riparazione-mezzo-con-targa-agk711.html</v>
      </c>
      <c r="U737" t="str">
        <f>"https://portaletrasparenza.consorziobacchiglione.it/download/attodigara/7209/63ac45d9a4e93.PDF"</f>
        <v>https://portaletrasparenza.consorziobacchiglione.it/download/attodigara/7209/63ac45d9a4e93.PDF</v>
      </c>
      <c r="V73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38" spans="1:22" x14ac:dyDescent="0.3">
      <c r="A738" t="str">
        <f>"Affidamento"</f>
        <v>Affidamento</v>
      </c>
      <c r="B738" t="str">
        <f>"Rinnovo Canone di assistenza programma STR Vision CPM per l'anno 2021."</f>
        <v>Rinnovo Canone di assistenza programma STR Vision CPM per l'anno 2021.</v>
      </c>
      <c r="C738" t="str">
        <f>"Z0A336C00D"</f>
        <v>Z0A336C00D</v>
      </c>
      <c r="D738" t="str">
        <f>"13/10/2021"</f>
        <v>13/10/2021</v>
      </c>
      <c r="E738" t="str">
        <f>""</f>
        <v/>
      </c>
      <c r="F738" t="str">
        <f>""</f>
        <v/>
      </c>
      <c r="G738" t="str">
        <f>"3915.00"</f>
        <v>3915.00</v>
      </c>
      <c r="H738" t="str">
        <f>"Consorzio di bonifica Bacchiglione"</f>
        <v>Consorzio di bonifica Bacchiglione</v>
      </c>
      <c r="I738" t="str">
        <f>"92223390284"</f>
        <v>92223390284</v>
      </c>
      <c r="J738" t="str">
        <f>"23-AFFIDAMENTO DIRETTO"</f>
        <v>23-AFFIDAMENTO DIRETTO</v>
      </c>
      <c r="K738" t="str">
        <f>"12/10/2021"</f>
        <v>12/10/2021</v>
      </c>
      <c r="L738" t="str">
        <f>"03/03/2022"</f>
        <v>03/03/2022</v>
      </c>
      <c r="M738" t="str">
        <f>""</f>
        <v/>
      </c>
      <c r="N738" t="str">
        <f>"TeamSystem S.p.A. Via Sandro Pertini, 88 - 61122 Pesaro (PU)"</f>
        <v>TeamSystem S.p.A. Via Sandro Pertini, 88 - 61122 Pesaro (PU)</v>
      </c>
      <c r="O738" t="str">
        <f>"TeamSystem S.p.A. Via Sandro Pertini, 88 - 61122 Pesaro (PU)"</f>
        <v>TeamSystem S.p.A. Via Sandro Pertini, 88 - 61122 Pesaro (PU)</v>
      </c>
      <c r="P738" t="str">
        <f>"Z0A336C00D: [3915.00€ ]"</f>
        <v>Z0A336C00D: [3915.00€ ]</v>
      </c>
      <c r="Q738" t="str">
        <f>""</f>
        <v/>
      </c>
      <c r="R738" t="str">
        <f>""</f>
        <v/>
      </c>
      <c r="S738" t="str">
        <f>""</f>
        <v/>
      </c>
      <c r="T738" t="str">
        <f>"https://portaletrasparenza.consorziobacchiglione.it/dettagli/attodigara/7208/rinnovo-canone-di-assistenza-programma-str-vision-cpm-per-l-anno-2021.html"</f>
        <v>https://portaletrasparenza.consorziobacchiglione.it/dettagli/attodigara/7208/rinnovo-canone-di-assistenza-programma-str-vision-cpm-per-l-anno-2021.html</v>
      </c>
      <c r="U738" t="str">
        <f>"https://portaletrasparenza.consorziobacchiglione.it/download/attodigara/7208/63ac45d96b5c2.PDF"</f>
        <v>https://portaletrasparenza.consorziobacchiglione.it/download/attodigara/7208/63ac45d96b5c2.PDF</v>
      </c>
      <c r="V73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39" spans="1:22" x14ac:dyDescent="0.3">
      <c r="A739" t="str">
        <f>"Affidamento"</f>
        <v>Affidamento</v>
      </c>
      <c r="B739" t="str">
        <f>"Fornitura materiale elettrico per vari Impianti"</f>
        <v>Fornitura materiale elettrico per vari Impianti</v>
      </c>
      <c r="C739" t="str">
        <f>"Z8A336C523"</f>
        <v>Z8A336C523</v>
      </c>
      <c r="D739" t="str">
        <f>"19/10/2021"</f>
        <v>19/10/2021</v>
      </c>
      <c r="E739" t="str">
        <f>""</f>
        <v/>
      </c>
      <c r="F739" t="str">
        <f>""</f>
        <v/>
      </c>
      <c r="G739" t="str">
        <f>"3360.68"</f>
        <v>3360.68</v>
      </c>
      <c r="H739" t="str">
        <f>"Consorzio di bonifica Bacchiglione"</f>
        <v>Consorzio di bonifica Bacchiglione</v>
      </c>
      <c r="I739" t="str">
        <f>"92223390284"</f>
        <v>92223390284</v>
      </c>
      <c r="J739" t="str">
        <f>"23-AFFIDAMENTO DIRETTO"</f>
        <v>23-AFFIDAMENTO DIRETTO</v>
      </c>
      <c r="K739" t="str">
        <f>"12/10/2021"</f>
        <v>12/10/2021</v>
      </c>
      <c r="L739" t="str">
        <f>"30/11/2021"</f>
        <v>30/11/2021</v>
      </c>
      <c r="M739" t="str">
        <f>""</f>
        <v/>
      </c>
      <c r="N739" t="str">
        <f>"Elettroveneta S.p.A. Viale della Navigazione Interna, 48 - 35129 Padova (PD)"</f>
        <v>Elettroveneta S.p.A. Viale della Navigazione Interna, 48 - 35129 Padova (PD)</v>
      </c>
      <c r="O739" t="str">
        <f>"Elettroveneta S.p.A. Viale della Navigazione Interna, 48 - 35129 Padova (PD)"</f>
        <v>Elettroveneta S.p.A. Viale della Navigazione Interna, 48 - 35129 Padova (PD)</v>
      </c>
      <c r="P739" t="s">
        <v>200</v>
      </c>
      <c r="Q739" t="str">
        <f>""</f>
        <v/>
      </c>
      <c r="R739" t="str">
        <f>""</f>
        <v/>
      </c>
      <c r="S739" t="str">
        <f>""</f>
        <v/>
      </c>
      <c r="T739" t="str">
        <f>"https://portaletrasparenza.consorziobacchiglione.it/dettagli/attodigara/7210/fornitura-materiale-elettrico-per-vari-impianti.html"</f>
        <v>https://portaletrasparenza.consorziobacchiglione.it/dettagli/attodigara/7210/fornitura-materiale-elettrico-per-vari-impianti.html</v>
      </c>
      <c r="U739" t="str">
        <f>"https://portaletrasparenza.consorziobacchiglione.it/download/attodigara/7210/63ac45d9dea41.PDF"</f>
        <v>https://portaletrasparenza.consorziobacchiglione.it/download/attodigara/7210/63ac45d9dea41.PDF</v>
      </c>
      <c r="V7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40" spans="1:22" x14ac:dyDescent="0.3">
      <c r="A740" t="str">
        <f>"Affidamento"</f>
        <v>Affidamento</v>
      </c>
      <c r="B740" t="str">
        <f>"Riparazione parte elettrica aspiratore Gisowatt presso C.O.S.Margherita"</f>
        <v>Riparazione parte elettrica aspiratore Gisowatt presso C.O.S.Margherita</v>
      </c>
      <c r="C740" t="str">
        <f>"Z4C336C809"</f>
        <v>Z4C336C809</v>
      </c>
      <c r="D740" t="str">
        <f>"19/10/2021"</f>
        <v>19/10/2021</v>
      </c>
      <c r="E740" t="str">
        <f>""</f>
        <v/>
      </c>
      <c r="F740" t="str">
        <f>""</f>
        <v/>
      </c>
      <c r="G740" t="str">
        <f>"53.00"</f>
        <v>53.00</v>
      </c>
      <c r="H740" t="str">
        <f>"Consorzio di bonifica Bacchiglione"</f>
        <v>Consorzio di bonifica Bacchiglione</v>
      </c>
      <c r="I740" t="str">
        <f>"92223390284"</f>
        <v>92223390284</v>
      </c>
      <c r="J740" t="str">
        <f>"23-AFFIDAMENTO DIRETTO"</f>
        <v>23-AFFIDAMENTO DIRETTO</v>
      </c>
      <c r="K740" t="str">
        <f>"12/10/2021"</f>
        <v>12/10/2021</v>
      </c>
      <c r="L740" t="str">
        <f>"30/11/2021"</f>
        <v>30/11/2021</v>
      </c>
      <c r="M740" t="str">
        <f>""</f>
        <v/>
      </c>
      <c r="N740" t="str">
        <f>"Scarpa Sergio Elettromeccanica S.n.c. di Scarpa Paola E C. Via A. Vivaldi 7 35028 Piove di Sacco PD"</f>
        <v>Scarpa Sergio Elettromeccanica S.n.c. di Scarpa Paola E C. Via A. Vivaldi 7 35028 Piove di Sacco PD</v>
      </c>
      <c r="O740" t="str">
        <f>"Scarpa Sergio Elettromeccanica S.n.c. di Scarpa Paola E C. Via A. Vivaldi 7 35028 Piove di Sacco PD"</f>
        <v>Scarpa Sergio Elettromeccanica S.n.c. di Scarpa Paola E C. Via A. Vivaldi 7 35028 Piove di Sacco PD</v>
      </c>
      <c r="P740" t="str">
        <f>"Z4C336C809: [53.00€ ]"</f>
        <v>Z4C336C809: [53.00€ ]</v>
      </c>
      <c r="Q740" t="str">
        <f>""</f>
        <v/>
      </c>
      <c r="R740" t="str">
        <f>""</f>
        <v/>
      </c>
      <c r="S740" t="str">
        <f>""</f>
        <v/>
      </c>
      <c r="T740" t="str">
        <f>"https://portaletrasparenza.consorziobacchiglione.it/dettagli/attodigara/7211/riparazione-parte-elettrica-aspiratore-gisowatt-presso-c-o-s-margherita.html"</f>
        <v>https://portaletrasparenza.consorziobacchiglione.it/dettagli/attodigara/7211/riparazione-parte-elettrica-aspiratore-gisowatt-presso-c-o-s-margherita.html</v>
      </c>
      <c r="U740" t="str">
        <f>"https://portaletrasparenza.consorziobacchiglione.it/download/attodigara/7211/63ac45da2365a.PDF"</f>
        <v>https://portaletrasparenza.consorziobacchiglione.it/download/attodigara/7211/63ac45da2365a.PDF</v>
      </c>
      <c r="V7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41" spans="1:22" x14ac:dyDescent="0.3">
      <c r="A741" t="str">
        <f>"Affidamento"</f>
        <v>Affidamento</v>
      </c>
      <c r="B741" t="str">
        <f>"Noleggio escavatore cingolato Case CX210D con braccio extra lungo per lavori presso scolo Interno di Bovolenta"</f>
        <v>Noleggio escavatore cingolato Case CX210D con braccio extra lungo per lavori presso scolo Interno di Bovolenta</v>
      </c>
      <c r="C741" t="str">
        <f>"Z0B33E2987"</f>
        <v>Z0B33E2987</v>
      </c>
      <c r="D741" t="str">
        <f>"15/11/2021"</f>
        <v>15/11/2021</v>
      </c>
      <c r="E741" t="str">
        <f>""</f>
        <v/>
      </c>
      <c r="F741" t="str">
        <f>""</f>
        <v/>
      </c>
      <c r="G741" t="str">
        <f>"9500.00"</f>
        <v>9500.00</v>
      </c>
      <c r="H741" t="str">
        <f>"Consorzio di bonifica Bacchiglione"</f>
        <v>Consorzio di bonifica Bacchiglione</v>
      </c>
      <c r="I741" t="str">
        <f>"92223390284"</f>
        <v>92223390284</v>
      </c>
      <c r="J741" t="str">
        <f>"23-AFFIDAMENTO DIRETTO"</f>
        <v>23-AFFIDAMENTO DIRETTO</v>
      </c>
      <c r="K741" t="str">
        <f>"12/11/2021"</f>
        <v>12/11/2021</v>
      </c>
      <c r="L741" t="str">
        <f>"15/12/2021"</f>
        <v>15/12/2021</v>
      </c>
      <c r="M741" t="str">
        <f>""</f>
        <v/>
      </c>
      <c r="N741" t="str">
        <f>"Sorme s.n.c. Via Monache 21 35030 Selvazzano Dentro PD"</f>
        <v>Sorme s.n.c. Via Monache 21 35030 Selvazzano Dentro PD</v>
      </c>
      <c r="O741" t="str">
        <f>"Sorme s.n.c. Via Monache 21 35030 Selvazzano Dentro PD"</f>
        <v>Sorme s.n.c. Via Monache 21 35030 Selvazzano Dentro PD</v>
      </c>
      <c r="P741" t="s">
        <v>169</v>
      </c>
      <c r="Q741" t="str">
        <f>""</f>
        <v/>
      </c>
      <c r="R741" t="str">
        <f>""</f>
        <v/>
      </c>
      <c r="S741" t="str">
        <f>""</f>
        <v/>
      </c>
      <c r="T741" t="str">
        <f>"https://portaletrasparenza.consorziobacchiglione.it/dettagli/attodigara/7280/noleggio-escavatore-cingolato-case-cx210d-con-braccio-extra-lungo-per-lavori-presso-scolo-interno-di-bovolenta.html"</f>
        <v>https://portaletrasparenza.consorziobacchiglione.it/dettagli/attodigara/7280/noleggio-escavatore-cingolato-case-cx210d-con-braccio-extra-lungo-per-lavori-presso-scolo-interno-di-bovolenta.html</v>
      </c>
      <c r="U741" t="str">
        <f>"https://portaletrasparenza.consorziobacchiglione.it/download/attodigara/7280/63ac45e9e7426.PDF"</f>
        <v>https://portaletrasparenza.consorziobacchiglione.it/download/attodigara/7280/63ac45e9e7426.PDF</v>
      </c>
      <c r="V74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42" spans="1:22" x14ac:dyDescent="0.3">
      <c r="A742" t="str">
        <f>"Affidamento"</f>
        <v>Affidamento</v>
      </c>
      <c r="B742" t="str">
        <f>"Prelievo ed analisi chimiche su campioni sedimento presso fosso Pesare"</f>
        <v>Prelievo ed analisi chimiche su campioni sedimento presso fosso Pesare</v>
      </c>
      <c r="C742" t="str">
        <f>"Z4D33E0855"</f>
        <v>Z4D33E0855</v>
      </c>
      <c r="D742" t="str">
        <f>"15/11/2021"</f>
        <v>15/11/2021</v>
      </c>
      <c r="E742" t="str">
        <f>""</f>
        <v/>
      </c>
      <c r="F742" t="str">
        <f>""</f>
        <v/>
      </c>
      <c r="G742" t="str">
        <f>"1488.00"</f>
        <v>1488.00</v>
      </c>
      <c r="H742" t="str">
        <f>"Consorzio di bonifica Bacchiglione"</f>
        <v>Consorzio di bonifica Bacchiglione</v>
      </c>
      <c r="I742" t="str">
        <f>"92223390284"</f>
        <v>92223390284</v>
      </c>
      <c r="J742" t="str">
        <f>"23-AFFIDAMENTO DIRETTO"</f>
        <v>23-AFFIDAMENTO DIRETTO</v>
      </c>
      <c r="K742" t="str">
        <f>"12/11/2021"</f>
        <v>12/11/2021</v>
      </c>
      <c r="L742" t="str">
        <f>"28/12/2021"</f>
        <v>28/12/2021</v>
      </c>
      <c r="M742" t="str">
        <f>""</f>
        <v/>
      </c>
      <c r="N742" t="str">
        <f>"Geologia Tecnica sas di Vorlicek P.A. E C. Via Martiri della Libertà 29 35042 Este PD"</f>
        <v>Geologia Tecnica sas di Vorlicek P.A. E C. Via Martiri della Libertà 29 35042 Este PD</v>
      </c>
      <c r="O742" t="str">
        <f>"Geologia Tecnica sas di Vorlicek P.A. E C. Via Martiri della Libertà 29 35042 Este PD"</f>
        <v>Geologia Tecnica sas di Vorlicek P.A. E C. Via Martiri della Libertà 29 35042 Este PD</v>
      </c>
      <c r="P742" t="s">
        <v>247</v>
      </c>
      <c r="Q742" t="str">
        <f>""</f>
        <v/>
      </c>
      <c r="R742" t="str">
        <f>""</f>
        <v/>
      </c>
      <c r="S742" t="str">
        <f>""</f>
        <v/>
      </c>
      <c r="T742" t="str">
        <f>"https://portaletrasparenza.consorziobacchiglione.it/dettagli/attodigara/7279/prelievo-ed-analisi-chimiche-su-campioni-sedimento-presso-fosso-pesare.html"</f>
        <v>https://portaletrasparenza.consorziobacchiglione.it/dettagli/attodigara/7279/prelievo-ed-analisi-chimiche-su-campioni-sedimento-presso-fosso-pesare.html</v>
      </c>
      <c r="U742" t="str">
        <f>"https://portaletrasparenza.consorziobacchiglione.it/download/attodigara/7279/63ac45e9ae1cf.PDF"</f>
        <v>https://portaletrasparenza.consorziobacchiglione.it/download/attodigara/7279/63ac45e9ae1cf.PDF</v>
      </c>
      <c r="V7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43" spans="1:22" x14ac:dyDescent="0.3">
      <c r="A743" t="str">
        <f>"Affidamento"</f>
        <v>Affidamento</v>
      </c>
      <c r="B743" t="str">
        <f>"STAMPANTE MULTIFUNZIONE CANON ADVANCE 400I PER UFFICIO CATASTO - FORNITURA E CANONE DI MANUTENZIONE"</f>
        <v>STAMPANTE MULTIFUNZIONE CANON ADVANCE 400I PER UFFICIO CATASTO - FORNITURA E CANONE DI MANUTENZIONE</v>
      </c>
      <c r="C743" t="str">
        <f>"Z3C1C76624"</f>
        <v>Z3C1C76624</v>
      </c>
      <c r="D743" t="str">
        <f>"04/11/2021"</f>
        <v>04/11/2021</v>
      </c>
      <c r="E743" t="str">
        <f>""</f>
        <v/>
      </c>
      <c r="F743" t="str">
        <f>""</f>
        <v/>
      </c>
      <c r="G743" t="str">
        <f>"720.00"</f>
        <v>720.00</v>
      </c>
      <c r="H743" t="str">
        <f>"Consorzio di bonifica Bacchiglione"</f>
        <v>Consorzio di bonifica Bacchiglione</v>
      </c>
      <c r="I743" t="str">
        <f>"92223390284"</f>
        <v>92223390284</v>
      </c>
      <c r="J743" t="str">
        <f>"23-AFFIDAMENTO DIRETTO"</f>
        <v>23-AFFIDAMENTO DIRETTO</v>
      </c>
      <c r="K743" t="str">
        <f>"12/12/2021"</f>
        <v>12/12/2021</v>
      </c>
      <c r="L743" t="str">
        <f>"31/12/2021"</f>
        <v>31/12/2021</v>
      </c>
      <c r="M743" t="str">
        <f>""</f>
        <v/>
      </c>
      <c r="N743" t="str">
        <f>"FR S.N.C."</f>
        <v>FR S.N.C.</v>
      </c>
      <c r="O743" t="str">
        <f>"FR S.N.C."</f>
        <v>FR S.N.C.</v>
      </c>
      <c r="P743" t="str">
        <f>"Z3C1C76624: [710.33€ ]"</f>
        <v>Z3C1C76624: [710.33€ ]</v>
      </c>
      <c r="Q743" t="str">
        <f>""</f>
        <v/>
      </c>
      <c r="R743" t="str">
        <f>""</f>
        <v/>
      </c>
      <c r="S743" t="str">
        <f>""</f>
        <v/>
      </c>
      <c r="T743" t="str">
        <f>"https://portaletrasparenza.consorziobacchiglione.it/dettagli/attodigara/987/stampante-multifunzione-canon-advance-400i-per-ufficio-catasto-fornitura-e-canone-di-manutenzione.html"</f>
        <v>https://portaletrasparenza.consorziobacchiglione.it/dettagli/attodigara/987/stampante-multifunzione-canon-advance-400i-per-ufficio-catasto-fornitura-e-canone-di-manutenzione.html</v>
      </c>
      <c r="U743" t="str">
        <f>""</f>
        <v/>
      </c>
      <c r="V743">
        <f>(SUBSTITUTE(Tabella1[[#This Row],[Importo di aggiudicazione]],".",","))-(SUBSTITUTE(  SUBSTITUTE(          SUBSTITUTE(Tabella1[[#This Row],[Dettaglio somme liquidate]],Tabella1[[#This Row],[CIG]]&amp;": [",""),"€ ]",""),".",","))</f>
        <v>9.6699999999999591</v>
      </c>
    </row>
    <row r="744" spans="1:22" x14ac:dyDescent="0.3">
      <c r="A744" t="str">
        <f>"Affidamento"</f>
        <v>Affidamento</v>
      </c>
      <c r="B744" t="str">
        <f>"Trasporto escavatore 914 targato ALA152 da Chioggia ad Adriatica Macchine (Due Carrare)"</f>
        <v>Trasporto escavatore 914 targato ALA152 da Chioggia ad Adriatica Macchine (Due Carrare)</v>
      </c>
      <c r="C744" t="str">
        <f>"Z70302AF99"</f>
        <v>Z70302AF99</v>
      </c>
      <c r="D744" t="str">
        <f>"14/01/2021"</f>
        <v>14/01/2021</v>
      </c>
      <c r="E744" t="str">
        <f>""</f>
        <v/>
      </c>
      <c r="F744" t="str">
        <f>""</f>
        <v/>
      </c>
      <c r="G744" t="str">
        <f>"480.00"</f>
        <v>480.00</v>
      </c>
      <c r="H744" t="str">
        <f>"Consorzio di bonifica Bacchiglione"</f>
        <v>Consorzio di bonifica Bacchiglione</v>
      </c>
      <c r="I744" t="str">
        <f>"92223390284"</f>
        <v>92223390284</v>
      </c>
      <c r="J744" t="str">
        <f>"23-AFFIDAMENTO DIRETTO"</f>
        <v>23-AFFIDAMENTO DIRETTO</v>
      </c>
      <c r="K744" t="str">
        <f>"13/01/2021"</f>
        <v>13/01/2021</v>
      </c>
      <c r="L744" t="str">
        <f>"25/01/2021"</f>
        <v>25/01/2021</v>
      </c>
      <c r="M744" t="str">
        <f>""</f>
        <v/>
      </c>
      <c r="N744" t="str">
        <f>"Trovò s.r.l. Via Idrovora, 3 - 35020 Codevigo (PD)"</f>
        <v>Trovò s.r.l. Via Idrovora, 3 - 35020 Codevigo (PD)</v>
      </c>
      <c r="O744" t="str">
        <f>"Trovò s.r.l. Via Idrovora, 3 - 35020 Codevigo (PD)"</f>
        <v>Trovò s.r.l. Via Idrovora, 3 - 35020 Codevigo (PD)</v>
      </c>
      <c r="P744" t="str">
        <f>"Z70302AF99: [480.00€ ]"</f>
        <v>Z70302AF99: [480.00€ ]</v>
      </c>
      <c r="Q744" t="str">
        <f>""</f>
        <v/>
      </c>
      <c r="R744" t="str">
        <f>""</f>
        <v/>
      </c>
      <c r="S744" t="str">
        <f>""</f>
        <v/>
      </c>
      <c r="T744" t="str">
        <f>"https://portaletrasparenza.consorziobacchiglione.it/dettagli/attodigara/6546/trasporto-escavatore-914-targato-ala152-da-chioggia-ad-adriatica-macchine-due-carrare.html"</f>
        <v>https://portaletrasparenza.consorziobacchiglione.it/dettagli/attodigara/6546/trasporto-escavatore-914-targato-ala152-da-chioggia-ad-adriatica-macchine-due-carrare.html</v>
      </c>
      <c r="U744" t="str">
        <f>"https://portaletrasparenza.consorziobacchiglione.it/download/attodigara/6546/63ac454937145.PDF"</f>
        <v>https://portaletrasparenza.consorziobacchiglione.it/download/attodigara/6546/63ac454937145.PDF</v>
      </c>
      <c r="V74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45" spans="1:22" x14ac:dyDescent="0.3">
      <c r="A745" t="str">
        <f>"Affidamento"</f>
        <v>Affidamento</v>
      </c>
      <c r="B745" t="str">
        <f>"SERVIZIO DI DISERBO DELLE ERBE INFESTANTI, ESEGUITO MEDIANTE SPARGIMENTO DI ACIDO PELARGONICO, NELLE AREE DI PERTINENZA DEGLI IMPIANTI CONSORTILI."</f>
        <v>SERVIZIO DI DISERBO DELLE ERBE INFESTANTI, ESEGUITO MEDIANTE SPARGIMENTO DI ACIDO PELARGONICO, NELLE AREE DI PERTINENZA DEGLI IMPIANTI CONSORTILI.</v>
      </c>
      <c r="C745" t="str">
        <f>"8577367B28"</f>
        <v>8577367B28</v>
      </c>
      <c r="D745" t="str">
        <f>"24/03/2021"</f>
        <v>24/03/2021</v>
      </c>
      <c r="E745" t="str">
        <f>""</f>
        <v/>
      </c>
      <c r="F745" t="str">
        <f>""</f>
        <v/>
      </c>
      <c r="G745" t="str">
        <f>"46569.62"</f>
        <v>46569.62</v>
      </c>
      <c r="H745" t="str">
        <f>"Consorzio di bonifica Bacchiglione"</f>
        <v>Consorzio di bonifica Bacchiglione</v>
      </c>
      <c r="I745" t="str">
        <f>"92223390284"</f>
        <v>92223390284</v>
      </c>
      <c r="J745" t="str">
        <f>"23-AFFIDAMENTO DIRETTO"</f>
        <v>23-AFFIDAMENTO DIRETTO</v>
      </c>
      <c r="K745" t="str">
        <f>"13/02/2021"</f>
        <v>13/02/2021</v>
      </c>
      <c r="L745" t="str">
        <f>"18/11/2021"</f>
        <v>18/11/2021</v>
      </c>
      <c r="M745" t="str">
        <f>""</f>
        <v/>
      </c>
      <c r="N745" t="s">
        <v>109</v>
      </c>
      <c r="O745" t="str">
        <f>"Land Art s.n.c."</f>
        <v>Land Art s.n.c.</v>
      </c>
      <c r="P745" t="s">
        <v>137</v>
      </c>
      <c r="Q745" t="str">
        <f>""</f>
        <v/>
      </c>
      <c r="R745" t="str">
        <f>""</f>
        <v/>
      </c>
      <c r="S745" t="str">
        <f>""</f>
        <v/>
      </c>
      <c r="T745" t="str">
        <f>"https://portaletrasparenza.consorziobacchiglione.it/dettagli/attodigara/6481/servizio-di-diserbo-delle-erbe-infestanti-eseguito-mediante-spargimento-di-acido-pelargonico-nelle-aree-di-pertinenza-degli-impianti-consortili.html"</f>
        <v>https://portaletrasparenza.consorziobacchiglione.it/dettagli/attodigara/6481/servizio-di-diserbo-delle-erbe-infestanti-eseguito-mediante-spargimento-di-acido-pelargonico-nelle-aree-di-pertinenza-degli-impianti-consortili.html</v>
      </c>
      <c r="U745" t="str">
        <f>"https://portaletrasparenza.consorziobacchiglione.it/download/attodigara/6481/62a209ad8f957.PDF"</f>
        <v>https://portaletrasparenza.consorziobacchiglione.it/download/attodigara/6481/62a209ad8f957.PDF</v>
      </c>
      <c r="V74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46" spans="1:22" x14ac:dyDescent="0.3">
      <c r="A746" t="str">
        <f>"Affidamento"</f>
        <v>Affidamento</v>
      </c>
      <c r="B746" t="str">
        <f>"Interventi di ripristino delle sponde franate dello scolo Fiumicello e di ripristino della sezione mediante lo scavo dei sedimenti depositati sul fondo - lavoro propedeutico riguardanti il rilievo planimetrico degli imp"</f>
        <v>Interventi di ripristino delle sponde franate dello scolo Fiumicello e di ripristino della sezione mediante lo scavo dei sedimenti depositati sul fondo - lavoro propedeutico riguardanti il rilievo planimetrico degli imp</v>
      </c>
      <c r="C746" t="str">
        <f>"Z3730FEA76"</f>
        <v>Z3730FEA76</v>
      </c>
      <c r="D746" t="str">
        <f>"15/03/2021"</f>
        <v>15/03/2021</v>
      </c>
      <c r="E746" t="str">
        <f>""</f>
        <v/>
      </c>
      <c r="F746" t="str">
        <f>""</f>
        <v/>
      </c>
      <c r="G746" t="str">
        <f>"3360.00"</f>
        <v>3360.00</v>
      </c>
      <c r="H746" t="str">
        <f>"Consorzio di bonifica Bacchiglione"</f>
        <v>Consorzio di bonifica Bacchiglione</v>
      </c>
      <c r="I746" t="str">
        <f>"92223390284"</f>
        <v>92223390284</v>
      </c>
      <c r="J746" t="str">
        <f>"23-AFFIDAMENTO DIRETTO"</f>
        <v>23-AFFIDAMENTO DIRETTO</v>
      </c>
      <c r="K746" t="str">
        <f>"13/03/2021"</f>
        <v>13/03/2021</v>
      </c>
      <c r="L746" t="str">
        <f>"08/10/2021"</f>
        <v>08/10/2021</v>
      </c>
      <c r="M746" t="str">
        <f>""</f>
        <v/>
      </c>
      <c r="N746" t="str">
        <f>"STUDIO TECNICO Orlando Geom. Giuseppe"</f>
        <v>STUDIO TECNICO Orlando Geom. Giuseppe</v>
      </c>
      <c r="O746" t="str">
        <f>"STUDIO TECNICO Orlando Geom. Giuseppe"</f>
        <v>STUDIO TECNICO Orlando Geom. Giuseppe</v>
      </c>
      <c r="P746" t="str">
        <f>"Z3730FEA76: [3360.00€ ]"</f>
        <v>Z3730FEA76: [3360.00€ ]</v>
      </c>
      <c r="Q746" t="str">
        <f>""</f>
        <v/>
      </c>
      <c r="R746" t="str">
        <f>""</f>
        <v/>
      </c>
      <c r="S746" t="str">
        <f>""</f>
        <v/>
      </c>
      <c r="T746" t="s">
        <v>110</v>
      </c>
      <c r="U746" t="str">
        <f>"https://portaletrasparenza.consorziobacchiglione.it/download/attodigara/6697/63ac456a86cdd.PDF"</f>
        <v>https://portaletrasparenza.consorziobacchiglione.it/download/attodigara/6697/63ac456a86cdd.PDF</v>
      </c>
      <c r="V7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47" spans="1:22" x14ac:dyDescent="0.3">
      <c r="A747" t="str">
        <f>"Affidamento"</f>
        <v>Affidamento</v>
      </c>
      <c r="B747" t="str">
        <f>"Spostamento Midiescavatore presso vari scoli"</f>
        <v>Spostamento Midiescavatore presso vari scoli</v>
      </c>
      <c r="C747" t="str">
        <f>"ZF530FE9B5"</f>
        <v>ZF530FE9B5</v>
      </c>
      <c r="D747" t="str">
        <f>"15/03/2021"</f>
        <v>15/03/2021</v>
      </c>
      <c r="E747" t="str">
        <f>""</f>
        <v/>
      </c>
      <c r="F747" t="str">
        <f>""</f>
        <v/>
      </c>
      <c r="G747" t="str">
        <f>"360.00"</f>
        <v>360.00</v>
      </c>
      <c r="H747" t="str">
        <f>"Consorzio di bonifica Bacchiglione"</f>
        <v>Consorzio di bonifica Bacchiglione</v>
      </c>
      <c r="I747" t="str">
        <f>"92223390284"</f>
        <v>92223390284</v>
      </c>
      <c r="J747" t="str">
        <f>"23-AFFIDAMENTO DIRETTO"</f>
        <v>23-AFFIDAMENTO DIRETTO</v>
      </c>
      <c r="K747" t="str">
        <f>"13/03/2021"</f>
        <v>13/03/2021</v>
      </c>
      <c r="L747" t="str">
        <f>"17/03/2021"</f>
        <v>17/03/2021</v>
      </c>
      <c r="M747" t="str">
        <f>""</f>
        <v/>
      </c>
      <c r="N747" t="str">
        <f>"Trovò s.r.l. Via Idrovora, 3 - 35020 Codevigo (PD)"</f>
        <v>Trovò s.r.l. Via Idrovora, 3 - 35020 Codevigo (PD)</v>
      </c>
      <c r="O747" t="str">
        <f>"Trovò s.r.l. Via Idrovora, 3 - 35020 Codevigo (PD)"</f>
        <v>Trovò s.r.l. Via Idrovora, 3 - 35020 Codevigo (PD)</v>
      </c>
      <c r="P747" t="str">
        <f>"ZF530FE9B5: [360.00€ ]"</f>
        <v>ZF530FE9B5: [360.00€ ]</v>
      </c>
      <c r="Q747" t="str">
        <f>""</f>
        <v/>
      </c>
      <c r="R747" t="str">
        <f>""</f>
        <v/>
      </c>
      <c r="S747" t="str">
        <f>""</f>
        <v/>
      </c>
      <c r="T747" t="str">
        <f>"https://portaletrasparenza.consorziobacchiglione.it/dettagli/attodigara/6696/spostamento-midiescavatore-presso-vari-scoli.html"</f>
        <v>https://portaletrasparenza.consorziobacchiglione.it/dettagli/attodigara/6696/spostamento-midiescavatore-presso-vari-scoli.html</v>
      </c>
      <c r="U747" t="str">
        <f>"https://portaletrasparenza.consorziobacchiglione.it/download/attodigara/6696/63ac456a4e31e.PDF"</f>
        <v>https://portaletrasparenza.consorziobacchiglione.it/download/attodigara/6696/63ac456a4e31e.PDF</v>
      </c>
      <c r="V74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48" spans="1:22" x14ac:dyDescent="0.3">
      <c r="A748" t="str">
        <f>"Affidamento"</f>
        <v>Affidamento</v>
      </c>
      <c r="B748" t="str">
        <f>"Trasporto escavatore 904 cingolato dallo scolo Acque Straniere allo scolo Castellaro"</f>
        <v>Trasporto escavatore 904 cingolato dallo scolo Acque Straniere allo scolo Castellaro</v>
      </c>
      <c r="C748" t="str">
        <f>"ZCC30FE971"</f>
        <v>ZCC30FE971</v>
      </c>
      <c r="D748" t="str">
        <f>"15/03/2021"</f>
        <v>15/03/2021</v>
      </c>
      <c r="E748" t="str">
        <f>""</f>
        <v/>
      </c>
      <c r="F748" t="str">
        <f>""</f>
        <v/>
      </c>
      <c r="G748" t="str">
        <f>"150.00"</f>
        <v>150.00</v>
      </c>
      <c r="H748" t="str">
        <f>"Consorzio di bonifica Bacchiglione"</f>
        <v>Consorzio di bonifica Bacchiglione</v>
      </c>
      <c r="I748" t="str">
        <f>"92223390284"</f>
        <v>92223390284</v>
      </c>
      <c r="J748" t="str">
        <f>"23-AFFIDAMENTO DIRETTO"</f>
        <v>23-AFFIDAMENTO DIRETTO</v>
      </c>
      <c r="K748" t="str">
        <f>"13/03/2021"</f>
        <v>13/03/2021</v>
      </c>
      <c r="L748" t="str">
        <f>"17/03/2021"</f>
        <v>17/03/2021</v>
      </c>
      <c r="M748" t="str">
        <f>""</f>
        <v/>
      </c>
      <c r="N748" t="str">
        <f>"Trovò s.r.l. Via Idrovora, 3 - 35020 Codevigo (PD)"</f>
        <v>Trovò s.r.l. Via Idrovora, 3 - 35020 Codevigo (PD)</v>
      </c>
      <c r="O748" t="str">
        <f>"Trovò s.r.l. Via Idrovora, 3 - 35020 Codevigo (PD)"</f>
        <v>Trovò s.r.l. Via Idrovora, 3 - 35020 Codevigo (PD)</v>
      </c>
      <c r="P748" t="str">
        <f>"ZCC30FE971: [150.00€ ]"</f>
        <v>ZCC30FE971: [150.00€ ]</v>
      </c>
      <c r="Q748" t="str">
        <f>""</f>
        <v/>
      </c>
      <c r="R748" t="str">
        <f>""</f>
        <v/>
      </c>
      <c r="S748" t="str">
        <f>""</f>
        <v/>
      </c>
      <c r="T748" t="str">
        <f>"https://portaletrasparenza.consorziobacchiglione.it/dettagli/attodigara/6695/trasporto-escavatore-904-cingolato-dallo-scolo-acque-straniere-allo-scolo-castellaro.html"</f>
        <v>https://portaletrasparenza.consorziobacchiglione.it/dettagli/attodigara/6695/trasporto-escavatore-904-cingolato-dallo-scolo-acque-straniere-allo-scolo-castellaro.html</v>
      </c>
      <c r="U748" t="str">
        <f>"https://portaletrasparenza.consorziobacchiglione.it/download/attodigara/6695/63ac456a15e2e.PDF"</f>
        <v>https://portaletrasparenza.consorziobacchiglione.it/download/attodigara/6695/63ac456a15e2e.PDF</v>
      </c>
      <c r="V7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49" spans="1:22" x14ac:dyDescent="0.3">
      <c r="A749" t="str">
        <f>"Affidamento"</f>
        <v>Affidamento</v>
      </c>
      <c r="B749" t="str">
        <f>"Trasporto escavatore 900 cingolato da Montegrotto all'Idrovora Fossetta"</f>
        <v>Trasporto escavatore 900 cingolato da Montegrotto all'Idrovora Fossetta</v>
      </c>
      <c r="C749" t="str">
        <f>"Z8630FE934"</f>
        <v>Z8630FE934</v>
      </c>
      <c r="D749" t="str">
        <f>"15/03/2021"</f>
        <v>15/03/2021</v>
      </c>
      <c r="E749" t="str">
        <f>""</f>
        <v/>
      </c>
      <c r="F749" t="str">
        <f>""</f>
        <v/>
      </c>
      <c r="G749" t="str">
        <f>"240.00"</f>
        <v>240.00</v>
      </c>
      <c r="H749" t="str">
        <f>"Consorzio di bonifica Bacchiglione"</f>
        <v>Consorzio di bonifica Bacchiglione</v>
      </c>
      <c r="I749" t="str">
        <f>"92223390284"</f>
        <v>92223390284</v>
      </c>
      <c r="J749" t="str">
        <f>"23-AFFIDAMENTO DIRETTO"</f>
        <v>23-AFFIDAMENTO DIRETTO</v>
      </c>
      <c r="K749" t="str">
        <f>"13/03/2021"</f>
        <v>13/03/2021</v>
      </c>
      <c r="L749" t="str">
        <f>"17/03/2021"</f>
        <v>17/03/2021</v>
      </c>
      <c r="M749" t="str">
        <f>""</f>
        <v/>
      </c>
      <c r="N749" t="str">
        <f>"Trovò s.r.l. Via Idrovora, 3 - 35020 Codevigo (PD)"</f>
        <v>Trovò s.r.l. Via Idrovora, 3 - 35020 Codevigo (PD)</v>
      </c>
      <c r="O749" t="str">
        <f>"Trovò s.r.l. Via Idrovora, 3 - 35020 Codevigo (PD)"</f>
        <v>Trovò s.r.l. Via Idrovora, 3 - 35020 Codevigo (PD)</v>
      </c>
      <c r="P749" t="str">
        <f>"Z8630FE934: [240.00€ ]"</f>
        <v>Z8630FE934: [240.00€ ]</v>
      </c>
      <c r="Q749" t="str">
        <f>""</f>
        <v/>
      </c>
      <c r="R749" t="str">
        <f>""</f>
        <v/>
      </c>
      <c r="S749" t="str">
        <f>""</f>
        <v/>
      </c>
      <c r="T749" t="str">
        <f>"https://portaletrasparenza.consorziobacchiglione.it/dettagli/attodigara/6694/trasporto-escavatore-900-cingolato-da-montegrotto-all-idrovora-fossetta.html"</f>
        <v>https://portaletrasparenza.consorziobacchiglione.it/dettagli/attodigara/6694/trasporto-escavatore-900-cingolato-da-montegrotto-all-idrovora-fossetta.html</v>
      </c>
      <c r="U749" t="str">
        <f>"https://portaletrasparenza.consorziobacchiglione.it/download/attodigara/6694/63ac4569d18f4.PDF"</f>
        <v>https://portaletrasparenza.consorziobacchiglione.it/download/attodigara/6694/63ac4569d18f4.PDF</v>
      </c>
      <c r="V7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50" spans="1:22" x14ac:dyDescent="0.3">
      <c r="A750" t="str">
        <f>"Affidamento"</f>
        <v>Affidamento</v>
      </c>
      <c r="B750" t="str">
        <f>"Sostituzione coltelli rotore su mezzo targato: AKV863"</f>
        <v>Sostituzione coltelli rotore su mezzo targato: AKV863</v>
      </c>
      <c r="C750" t="str">
        <f>"Z4730FECD0"</f>
        <v>Z4730FECD0</v>
      </c>
      <c r="D750" t="str">
        <f>"15/03/2021"</f>
        <v>15/03/2021</v>
      </c>
      <c r="E750" t="str">
        <f>""</f>
        <v/>
      </c>
      <c r="F750" t="str">
        <f>""</f>
        <v/>
      </c>
      <c r="G750" t="str">
        <f>"535.45"</f>
        <v>535.45</v>
      </c>
      <c r="H750" t="str">
        <f>"Consorzio di bonifica Bacchiglione"</f>
        <v>Consorzio di bonifica Bacchiglione</v>
      </c>
      <c r="I750" t="str">
        <f>"92223390284"</f>
        <v>92223390284</v>
      </c>
      <c r="J750" t="str">
        <f>"23-AFFIDAMENTO DIRETTO"</f>
        <v>23-AFFIDAMENTO DIRETTO</v>
      </c>
      <c r="K750" t="str">
        <f>"13/03/2021"</f>
        <v>13/03/2021</v>
      </c>
      <c r="L750" t="str">
        <f>"14/05/2021"</f>
        <v>14/05/2021</v>
      </c>
      <c r="M750" t="str">
        <f>""</f>
        <v/>
      </c>
      <c r="N750" t="str">
        <f>"Energreen Via Pietre 73 36026 Cagnano di Pojana Maggiore VI"</f>
        <v>Energreen Via Pietre 73 36026 Cagnano di Pojana Maggiore VI</v>
      </c>
      <c r="O750" t="str">
        <f>"Energreen Via Pietre 73 36026 Cagnano di Pojana Maggiore VI"</f>
        <v>Energreen Via Pietre 73 36026 Cagnano di Pojana Maggiore VI</v>
      </c>
      <c r="P750" t="str">
        <f>"Z4730FECD0: [506.44€ ]"</f>
        <v>Z4730FECD0: [506.44€ ]</v>
      </c>
      <c r="Q750" t="str">
        <f>""</f>
        <v/>
      </c>
      <c r="R750" t="str">
        <f>""</f>
        <v/>
      </c>
      <c r="S750" t="str">
        <f>""</f>
        <v/>
      </c>
      <c r="T750" t="str">
        <f>"https://portaletrasparenza.consorziobacchiglione.it/dettagli/attodigara/6699/sostituzione-coltelli-rotore-su-mezzo-targato-akv863.html"</f>
        <v>https://portaletrasparenza.consorziobacchiglione.it/dettagli/attodigara/6699/sostituzione-coltelli-rotore-su-mezzo-targato-akv863.html</v>
      </c>
      <c r="U750" t="str">
        <f>"https://portaletrasparenza.consorziobacchiglione.it/download/attodigara/6699/63ac456abf71c.PDF"</f>
        <v>https://portaletrasparenza.consorziobacchiglione.it/download/attodigara/6699/63ac456abf71c.PDF</v>
      </c>
      <c r="V750">
        <f>(SUBSTITUTE(Tabella1[[#This Row],[Importo di aggiudicazione]],".",","))-(SUBSTITUTE(  SUBSTITUTE(          SUBSTITUTE(Tabella1[[#This Row],[Dettaglio somme liquidate]],Tabella1[[#This Row],[CIG]]&amp;": [",""),"€ ]",""),".",","))</f>
        <v>29.010000000000048</v>
      </c>
    </row>
    <row r="751" spans="1:22" x14ac:dyDescent="0.3">
      <c r="A751" t="str">
        <f>"Affidamento"</f>
        <v>Affidamento</v>
      </c>
      <c r="B751" t="str">
        <f>"Presentazione S.C.I.A. ai fini dell'ottenimento della conformità antincendio presso Gruppo Elettrogeno Impianto Idrovoro di Montegrotto"</f>
        <v>Presentazione S.C.I.A. ai fini dell'ottenimento della conformità antincendio presso Gruppo Elettrogeno Impianto Idrovoro di Montegrotto</v>
      </c>
      <c r="C751" t="str">
        <f>"ZB230FEB42"</f>
        <v>ZB230FEB42</v>
      </c>
      <c r="D751" t="str">
        <f>"15/03/2021"</f>
        <v>15/03/2021</v>
      </c>
      <c r="E751" t="str">
        <f>""</f>
        <v/>
      </c>
      <c r="F751" t="str">
        <f>""</f>
        <v/>
      </c>
      <c r="G751" t="str">
        <f>"1680.00"</f>
        <v>1680.00</v>
      </c>
      <c r="H751" t="str">
        <f>"Consorzio di bonifica Bacchiglione"</f>
        <v>Consorzio di bonifica Bacchiglione</v>
      </c>
      <c r="I751" t="str">
        <f>"92223390284"</f>
        <v>92223390284</v>
      </c>
      <c r="J751" t="str">
        <f>"23-AFFIDAMENTO DIRETTO"</f>
        <v>23-AFFIDAMENTO DIRETTO</v>
      </c>
      <c r="K751" t="str">
        <f>"13/03/2021"</f>
        <v>13/03/2021</v>
      </c>
      <c r="L751" t="str">
        <f>"31/12/2021"</f>
        <v>31/12/2021</v>
      </c>
      <c r="M751" t="str">
        <f>""</f>
        <v/>
      </c>
      <c r="N751" t="str">
        <f>"Novatecno Studio Associato Via Mazzini 8 36040 Grisignano di Zocco VI"</f>
        <v>Novatecno Studio Associato Via Mazzini 8 36040 Grisignano di Zocco VI</v>
      </c>
      <c r="O751" t="str">
        <f>"Novatecno Studio Associato Via Mazzini 8 36040 Grisignano di Zocco VI"</f>
        <v>Novatecno Studio Associato Via Mazzini 8 36040 Grisignano di Zocco VI</v>
      </c>
      <c r="P751" t="str">
        <f>"ZB230FEB42: [0.00€ ]"</f>
        <v>ZB230FEB42: [0.00€ ]</v>
      </c>
      <c r="Q751" t="str">
        <f>""</f>
        <v/>
      </c>
      <c r="R751" t="str">
        <f>""</f>
        <v/>
      </c>
      <c r="S751" t="str">
        <f>""</f>
        <v/>
      </c>
      <c r="T751" t="str">
        <f>"https://portaletrasparenza.consorziobacchiglione.it/dettagli/attodigara/6698/presentazione-s-c-i-a-ai-fini-dell-ottenimento-della-conformita-antincendio-presso-gruppo-elettrogeno-impianto-idrovoro-di-montegrotto.html"</f>
        <v>https://portaletrasparenza.consorziobacchiglione.it/dettagli/attodigara/6698/presentazione-s-c-i-a-ai-fini-dell-ottenimento-della-conformita-antincendio-presso-gruppo-elettrogeno-impianto-idrovoro-di-montegrotto.html</v>
      </c>
      <c r="U751" t="str">
        <f>"https://portaletrasparenza.consorziobacchiglione.it/download/attodigara/6698/62a209a0363af.PDF"</f>
        <v>https://portaletrasparenza.consorziobacchiglione.it/download/attodigara/6698/62a209a0363af.PDF</v>
      </c>
      <c r="V751">
        <f>(SUBSTITUTE(Tabella1[[#This Row],[Importo di aggiudicazione]],".",","))-(SUBSTITUTE(  SUBSTITUTE(          SUBSTITUTE(Tabella1[[#This Row],[Dettaglio somme liquidate]],Tabella1[[#This Row],[CIG]]&amp;": [",""),"€ ]",""),".",","))</f>
        <v>1680</v>
      </c>
    </row>
    <row r="752" spans="1:22" x14ac:dyDescent="0.3">
      <c r="A752" t="str">
        <f>"Affidamento"</f>
        <v>Affidamento</v>
      </c>
      <c r="B752" t="str">
        <f>"Richiesta interruzione alimentazione cabina MT via Querini - Processo ID 006-03."</f>
        <v>Richiesta interruzione alimentazione cabina MT via Querini - Processo ID 006-03.</v>
      </c>
      <c r="C752" t="str">
        <f>"Z671967975"</f>
        <v>Z671967975</v>
      </c>
      <c r="D752" t="str">
        <f>"04/11/2021"</f>
        <v>04/11/2021</v>
      </c>
      <c r="E752" t="str">
        <f>""</f>
        <v/>
      </c>
      <c r="F752" t="str">
        <f>""</f>
        <v/>
      </c>
      <c r="G752" t="str">
        <f>"225.50"</f>
        <v>225.50</v>
      </c>
      <c r="H752" t="str">
        <f>"Consorzio di bonifica Bacchiglione"</f>
        <v>Consorzio di bonifica Bacchiglione</v>
      </c>
      <c r="I752" t="str">
        <f>"92223390284"</f>
        <v>92223390284</v>
      </c>
      <c r="J752" t="str">
        <f>"23-AFFIDAMENTO DIRETTO"</f>
        <v>23-AFFIDAMENTO DIRETTO</v>
      </c>
      <c r="K752" t="str">
        <f>"13/04/2021"</f>
        <v>13/04/2021</v>
      </c>
      <c r="L752" t="str">
        <f>"14/04/2021"</f>
        <v>14/04/2021</v>
      </c>
      <c r="M752" t="str">
        <f>""</f>
        <v/>
      </c>
      <c r="N752" t="str">
        <f>"e-distribuzione S.p.A."</f>
        <v>e-distribuzione S.p.A.</v>
      </c>
      <c r="O752" t="str">
        <f>"e-distribuzione S.p.A."</f>
        <v>e-distribuzione S.p.A.</v>
      </c>
      <c r="P752" t="str">
        <f>"Z671967975: [225.50€ ]"</f>
        <v>Z671967975: [225.50€ ]</v>
      </c>
      <c r="Q752" t="str">
        <f>""</f>
        <v/>
      </c>
      <c r="R752" t="str">
        <f>""</f>
        <v/>
      </c>
      <c r="S752" t="str">
        <f>""</f>
        <v/>
      </c>
      <c r="T752" t="str">
        <f>"https://portaletrasparenza.consorziobacchiglione.it/dettagli/attodigara/322/richiesta-interruzione-alimentazione-cabina-mt-via-querini-processo-id-006-03.html"</f>
        <v>https://portaletrasparenza.consorziobacchiglione.it/dettagli/attodigara/322/richiesta-interruzione-alimentazione-cabina-mt-via-querini-processo-id-006-03.html</v>
      </c>
      <c r="U752" t="str">
        <f>""</f>
        <v/>
      </c>
      <c r="V7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53" spans="1:22" x14ac:dyDescent="0.3">
      <c r="A753" t="str">
        <f>"Affidamento"</f>
        <v>Affidamento</v>
      </c>
      <c r="B753" t="str">
        <f>"Tagliando completo del mezzo Kubota KX080-4 Matr.71964"</f>
        <v>Tagliando completo del mezzo Kubota KX080-4 Matr.71964</v>
      </c>
      <c r="C753" t="str">
        <f>"ZA331549C1"</f>
        <v>ZA331549C1</v>
      </c>
      <c r="D753" t="str">
        <f>"13/04/2021"</f>
        <v>13/04/2021</v>
      </c>
      <c r="E753" t="str">
        <f>""</f>
        <v/>
      </c>
      <c r="F753" t="str">
        <f>""</f>
        <v/>
      </c>
      <c r="G753" t="str">
        <f>"1008.85"</f>
        <v>1008.85</v>
      </c>
      <c r="H753" t="str">
        <f>"Consorzio di bonifica Bacchiglione"</f>
        <v>Consorzio di bonifica Bacchiglione</v>
      </c>
      <c r="I753" t="str">
        <f>"92223390284"</f>
        <v>92223390284</v>
      </c>
      <c r="J753" t="str">
        <f>"23-AFFIDAMENTO DIRETTO"</f>
        <v>23-AFFIDAMENTO DIRETTO</v>
      </c>
      <c r="K753" t="str">
        <f>"13/04/2021"</f>
        <v>13/04/2021</v>
      </c>
      <c r="L753" t="str">
        <f>"19/04/2021"</f>
        <v>19/04/2021</v>
      </c>
      <c r="M753" t="str">
        <f>""</f>
        <v/>
      </c>
      <c r="N753" t="str">
        <f>"Sorme s.n.c. Via Monache 21 35030 Selvazzano Dentro PD"</f>
        <v>Sorme s.n.c. Via Monache 21 35030 Selvazzano Dentro PD</v>
      </c>
      <c r="O753" t="str">
        <f>"Sorme s.n.c. Via Monache 21 35030 Selvazzano Dentro PD"</f>
        <v>Sorme s.n.c. Via Monache 21 35030 Selvazzano Dentro PD</v>
      </c>
      <c r="P753" t="str">
        <f>"ZA331549C1: [1008.85€ ]"</f>
        <v>ZA331549C1: [1008.85€ ]</v>
      </c>
      <c r="Q753" t="str">
        <f>""</f>
        <v/>
      </c>
      <c r="R753" t="str">
        <f>""</f>
        <v/>
      </c>
      <c r="S753" t="str">
        <f>""</f>
        <v/>
      </c>
      <c r="T753" t="str">
        <f>"https://portaletrasparenza.consorziobacchiglione.it/dettagli/attodigara/6797/tagliando-completo-del-mezzo-kubota-kx080-4-matr-71964.html"</f>
        <v>https://portaletrasparenza.consorziobacchiglione.it/dettagli/attodigara/6797/tagliando-completo-del-mezzo-kubota-kx080-4-matr-71964.html</v>
      </c>
      <c r="U753" t="str">
        <f>"https://portaletrasparenza.consorziobacchiglione.it/download/attodigara/6797/63ac457e1bdfd.PDF"</f>
        <v>https://portaletrasparenza.consorziobacchiglione.it/download/attodigara/6797/63ac457e1bdfd.PDF</v>
      </c>
      <c r="V7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54" spans="1:22" x14ac:dyDescent="0.3">
      <c r="A754" t="str">
        <f>"Affidamento"</f>
        <v>Affidamento</v>
      </c>
      <c r="B754" t="str">
        <f>"Riparazione e manutenzione piantapali Malaguti serie 502021 usato su mezzo targato: PDAH521"</f>
        <v>Riparazione e manutenzione piantapali Malaguti serie 502021 usato su mezzo targato: PDAH521</v>
      </c>
      <c r="C754" t="str">
        <f>"ZD13154772"</f>
        <v>ZD13154772</v>
      </c>
      <c r="D754" t="str">
        <f>"13/04/2021"</f>
        <v>13/04/2021</v>
      </c>
      <c r="E754" t="str">
        <f>""</f>
        <v/>
      </c>
      <c r="F754" t="str">
        <f>""</f>
        <v/>
      </c>
      <c r="G754" t="str">
        <f>"2044.00"</f>
        <v>2044.00</v>
      </c>
      <c r="H754" t="str">
        <f>"Consorzio di bonifica Bacchiglione"</f>
        <v>Consorzio di bonifica Bacchiglione</v>
      </c>
      <c r="I754" t="str">
        <f>"92223390284"</f>
        <v>92223390284</v>
      </c>
      <c r="J754" t="str">
        <f>"23-AFFIDAMENTO DIRETTO"</f>
        <v>23-AFFIDAMENTO DIRETTO</v>
      </c>
      <c r="K754" t="str">
        <f>"13/04/2021"</f>
        <v>13/04/2021</v>
      </c>
      <c r="L754" t="str">
        <f>"22/04/2021"</f>
        <v>22/04/2021</v>
      </c>
      <c r="M754" t="str">
        <f>""</f>
        <v/>
      </c>
      <c r="N754" t="str">
        <f>"Adriatica Commerciale Macchine s.r.l. Via dell'Artigianato 5 35020 Due Carrare PD"</f>
        <v>Adriatica Commerciale Macchine s.r.l. Via dell'Artigianato 5 35020 Due Carrare PD</v>
      </c>
      <c r="O754" t="str">
        <f>"Adriatica Commerciale Macchine s.r.l. Via dell'Artigianato 5 35020 Due Carrare PD"</f>
        <v>Adriatica Commerciale Macchine s.r.l. Via dell'Artigianato 5 35020 Due Carrare PD</v>
      </c>
      <c r="P754" t="str">
        <f>"ZD13154772: [2044.00€ ]"</f>
        <v>ZD13154772: [2044.00€ ]</v>
      </c>
      <c r="Q754" t="str">
        <f>""</f>
        <v/>
      </c>
      <c r="R754" t="str">
        <f>""</f>
        <v/>
      </c>
      <c r="S754" t="str">
        <f>""</f>
        <v/>
      </c>
      <c r="T754" t="str">
        <f>"https://portaletrasparenza.consorziobacchiglione.it/dettagli/attodigara/6796/riparazione-e-manutenzione-piantapali-malaguti-serie-502021-usato-su-mezzo-targato-pdah521.html"</f>
        <v>https://portaletrasparenza.consorziobacchiglione.it/dettagli/attodigara/6796/riparazione-e-manutenzione-piantapali-malaguti-serie-502021-usato-su-mezzo-targato-pdah521.html</v>
      </c>
      <c r="U754" t="str">
        <f>"https://portaletrasparenza.consorziobacchiglione.it/download/attodigara/6796/63ac457dd7824.PDF"</f>
        <v>https://portaletrasparenza.consorziobacchiglione.it/download/attodigara/6796/63ac457dd7824.PDF</v>
      </c>
      <c r="V7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55" spans="1:22" x14ac:dyDescent="0.3">
      <c r="A755" t="str">
        <f>"Affidamento"</f>
        <v>Affidamento</v>
      </c>
      <c r="B755" t="str">
        <f>"Manutenzione idraulica presso Impianto Irriguo 2 e 3 Bacino più sifone di Lova"</f>
        <v>Manutenzione idraulica presso Impianto Irriguo 2 e 3 Bacino più sifone di Lova</v>
      </c>
      <c r="C755" t="str">
        <f>"Z133154542"</f>
        <v>Z133154542</v>
      </c>
      <c r="D755" t="str">
        <f>"13/04/2021"</f>
        <v>13/04/2021</v>
      </c>
      <c r="E755" t="str">
        <f>""</f>
        <v/>
      </c>
      <c r="F755" t="str">
        <f>""</f>
        <v/>
      </c>
      <c r="G755" t="str">
        <f>"2160.00"</f>
        <v>2160.00</v>
      </c>
      <c r="H755" t="str">
        <f>"Consorzio di bonifica Bacchiglione"</f>
        <v>Consorzio di bonifica Bacchiglione</v>
      </c>
      <c r="I755" t="str">
        <f>"92223390284"</f>
        <v>92223390284</v>
      </c>
      <c r="J755" t="str">
        <f>"23-AFFIDAMENTO DIRETTO"</f>
        <v>23-AFFIDAMENTO DIRETTO</v>
      </c>
      <c r="K755" t="str">
        <f>"13/04/2021"</f>
        <v>13/04/2021</v>
      </c>
      <c r="L755" t="str">
        <f>"28/04/2021"</f>
        <v>28/04/2021</v>
      </c>
      <c r="M755" t="str">
        <f>""</f>
        <v/>
      </c>
      <c r="N755" t="str">
        <f>"Giraldo Impianti SNC di Giraldo Danilo e Silvio Via Flli Cervi 1-II 30010 Campolongo Maggiore VE"</f>
        <v>Giraldo Impianti SNC di Giraldo Danilo e Silvio Via Flli Cervi 1-II 30010 Campolongo Maggiore VE</v>
      </c>
      <c r="O755" t="str">
        <f>"Giraldo Impianti SNC di Giraldo Danilo e Silvio Via Flli Cervi 1-II 30010 Campolongo Maggiore VE"</f>
        <v>Giraldo Impianti SNC di Giraldo Danilo e Silvio Via Flli Cervi 1-II 30010 Campolongo Maggiore VE</v>
      </c>
      <c r="P755" t="str">
        <f>"Z133154542: [2160.00€ ]"</f>
        <v>Z133154542: [2160.00€ ]</v>
      </c>
      <c r="Q755" t="str">
        <f>""</f>
        <v/>
      </c>
      <c r="R755" t="str">
        <f>""</f>
        <v/>
      </c>
      <c r="S755" t="str">
        <f>""</f>
        <v/>
      </c>
      <c r="T755" t="str">
        <f>"https://portaletrasparenza.consorziobacchiglione.it/dettagli/attodigara/6795/manutenzione-idraulica-presso-impianto-irriguo-2-e-3-bacino-piu-sifone-di-lova.html"</f>
        <v>https://portaletrasparenza.consorziobacchiglione.it/dettagli/attodigara/6795/manutenzione-idraulica-presso-impianto-irriguo-2-e-3-bacino-piu-sifone-di-lova.html</v>
      </c>
      <c r="U755" t="str">
        <f>"https://portaletrasparenza.consorziobacchiglione.it/download/attodigara/6795/63ac457d947f6.PDF"</f>
        <v>https://portaletrasparenza.consorziobacchiglione.it/download/attodigara/6795/63ac457d947f6.PDF</v>
      </c>
      <c r="V7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56" spans="1:22" x14ac:dyDescent="0.3">
      <c r="A756" t="str">
        <f>"Affidamento"</f>
        <v>Affidamento</v>
      </c>
      <c r="B756" t="str">
        <f>"Controllo bruciatore caldaia più ripristino funzionamento presso sede consorziale"</f>
        <v>Controllo bruciatore caldaia più ripristino funzionamento presso sede consorziale</v>
      </c>
      <c r="C756" t="str">
        <f>"Z6C31542C6"</f>
        <v>Z6C31542C6</v>
      </c>
      <c r="D756" t="str">
        <f>"13/04/2021"</f>
        <v>13/04/2021</v>
      </c>
      <c r="E756" t="str">
        <f>""</f>
        <v/>
      </c>
      <c r="F756" t="str">
        <f>""</f>
        <v/>
      </c>
      <c r="G756" t="str">
        <f>"150.00"</f>
        <v>150.00</v>
      </c>
      <c r="H756" t="str">
        <f>"Consorzio di bonifica Bacchiglione"</f>
        <v>Consorzio di bonifica Bacchiglione</v>
      </c>
      <c r="I756" t="str">
        <f>"92223390284"</f>
        <v>92223390284</v>
      </c>
      <c r="J756" t="str">
        <f>"23-AFFIDAMENTO DIRETTO"</f>
        <v>23-AFFIDAMENTO DIRETTO</v>
      </c>
      <c r="K756" t="str">
        <f>"13/04/2021"</f>
        <v>13/04/2021</v>
      </c>
      <c r="L756" t="str">
        <f>"28/04/2021"</f>
        <v>28/04/2021</v>
      </c>
      <c r="M756" t="str">
        <f>""</f>
        <v/>
      </c>
      <c r="N756" t="str">
        <f>"Giraldo Impianti SNC di Giraldo Danilo e Silvio Via Flli Cervi 1-II 30010 Campolongo Maggiore VE"</f>
        <v>Giraldo Impianti SNC di Giraldo Danilo e Silvio Via Flli Cervi 1-II 30010 Campolongo Maggiore VE</v>
      </c>
      <c r="O756" t="str">
        <f>"Giraldo Impianti SNC di Giraldo Danilo e Silvio Via Flli Cervi 1-II 30010 Campolongo Maggiore VE"</f>
        <v>Giraldo Impianti SNC di Giraldo Danilo e Silvio Via Flli Cervi 1-II 30010 Campolongo Maggiore VE</v>
      </c>
      <c r="P756" t="str">
        <f>"Z6C31542C6: [150.00€ ]"</f>
        <v>Z6C31542C6: [150.00€ ]</v>
      </c>
      <c r="Q756" t="str">
        <f>""</f>
        <v/>
      </c>
      <c r="R756" t="str">
        <f>""</f>
        <v/>
      </c>
      <c r="S756" t="str">
        <f>""</f>
        <v/>
      </c>
      <c r="T756" t="str">
        <f>"https://portaletrasparenza.consorziobacchiglione.it/dettagli/attodigara/6794/controllo-bruciatore-caldaia-piu-ripristino-funzionamento-presso-sede-consorziale.html"</f>
        <v>https://portaletrasparenza.consorziobacchiglione.it/dettagli/attodigara/6794/controllo-bruciatore-caldaia-piu-ripristino-funzionamento-presso-sede-consorziale.html</v>
      </c>
      <c r="U756" t="str">
        <f>"https://portaletrasparenza.consorziobacchiglione.it/download/attodigara/6794/63ac457d5bf08.PDF"</f>
        <v>https://portaletrasparenza.consorziobacchiglione.it/download/attodigara/6794/63ac457d5bf08.PDF</v>
      </c>
      <c r="V75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57" spans="1:22" x14ac:dyDescent="0.3">
      <c r="A757" t="str">
        <f>"Affidamento"</f>
        <v>Affidamento</v>
      </c>
      <c r="B757" t="str">
        <f>"Fornitura arredo per sede Consorziale (uff. Progettazione)"</f>
        <v>Fornitura arredo per sede Consorziale (uff. Progettazione)</v>
      </c>
      <c r="C757" t="str">
        <f>"Z9F3156DEF"</f>
        <v>Z9F3156DEF</v>
      </c>
      <c r="D757" t="str">
        <f>"14/04/2021"</f>
        <v>14/04/2021</v>
      </c>
      <c r="E757" t="str">
        <f>""</f>
        <v/>
      </c>
      <c r="F757" t="str">
        <f>""</f>
        <v/>
      </c>
      <c r="G757" t="str">
        <f>"1190.00"</f>
        <v>1190.00</v>
      </c>
      <c r="H757" t="str">
        <f>"Consorzio di bonifica Bacchiglione"</f>
        <v>Consorzio di bonifica Bacchiglione</v>
      </c>
      <c r="I757" t="str">
        <f>"92223390284"</f>
        <v>92223390284</v>
      </c>
      <c r="J757" t="str">
        <f>"23-AFFIDAMENTO DIRETTO"</f>
        <v>23-AFFIDAMENTO DIRETTO</v>
      </c>
      <c r="K757" t="str">
        <f>"13/04/2021"</f>
        <v>13/04/2021</v>
      </c>
      <c r="L757" t="str">
        <f>"28/07/2021"</f>
        <v>28/07/2021</v>
      </c>
      <c r="M757" t="str">
        <f>""</f>
        <v/>
      </c>
      <c r="N757" t="str">
        <f>"Breviglieri S.r.l. C.so del Popolo, 100 - 45100 Rovigo"</f>
        <v>Breviglieri S.r.l. C.so del Popolo, 100 - 45100 Rovigo</v>
      </c>
      <c r="O757" t="str">
        <f>"Breviglieri S.r.l. C.so del Popolo, 100 - 45100 Rovigo"</f>
        <v>Breviglieri S.r.l. C.so del Popolo, 100 - 45100 Rovigo</v>
      </c>
      <c r="P757" t="str">
        <f>"Z9F3156DEF: [1190.00€ ]"</f>
        <v>Z9F3156DEF: [1190.00€ ]</v>
      </c>
      <c r="Q757" t="str">
        <f>""</f>
        <v/>
      </c>
      <c r="R757" t="str">
        <f>""</f>
        <v/>
      </c>
      <c r="S757" t="str">
        <f>""</f>
        <v/>
      </c>
      <c r="T757" t="str">
        <f>"https://portaletrasparenza.consorziobacchiglione.it/dettagli/attodigara/6800/fornitura-arredo-per-sede-consorziale-uff-progettazione.html"</f>
        <v>https://portaletrasparenza.consorziobacchiglione.it/dettagli/attodigara/6800/fornitura-arredo-per-sede-consorziale-uff-progettazione.html</v>
      </c>
      <c r="U757" t="str">
        <f>"https://portaletrasparenza.consorziobacchiglione.it/download/attodigara/6800/63ac457ec5dd8.PDF"</f>
        <v>https://portaletrasparenza.consorziobacchiglione.it/download/attodigara/6800/63ac457ec5dd8.PDF</v>
      </c>
      <c r="V75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58" spans="1:22" x14ac:dyDescent="0.3">
      <c r="A758" t="str">
        <f>"Affidamento"</f>
        <v>Affidamento</v>
      </c>
      <c r="B758" t="str">
        <f>"Trasporto escavatore a noleggio da scolo Brentella Vecchia Nord a scolo Scossia"</f>
        <v>Trasporto escavatore a noleggio da scolo Brentella Vecchia Nord a scolo Scossia</v>
      </c>
      <c r="C758" t="str">
        <f>"ZF63155D2F"</f>
        <v>ZF63155D2F</v>
      </c>
      <c r="D758" t="str">
        <f>"14/04/2021"</f>
        <v>14/04/2021</v>
      </c>
      <c r="E758" t="str">
        <f>""</f>
        <v/>
      </c>
      <c r="F758" t="str">
        <f>""</f>
        <v/>
      </c>
      <c r="G758" t="str">
        <f>"360.00"</f>
        <v>360.00</v>
      </c>
      <c r="H758" t="str">
        <f>"Consorzio di bonifica Bacchiglione"</f>
        <v>Consorzio di bonifica Bacchiglione</v>
      </c>
      <c r="I758" t="str">
        <f>"92223390284"</f>
        <v>92223390284</v>
      </c>
      <c r="J758" t="str">
        <f>"23-AFFIDAMENTO DIRETTO"</f>
        <v>23-AFFIDAMENTO DIRETTO</v>
      </c>
      <c r="K758" t="str">
        <f>"13/04/2021"</f>
        <v>13/04/2021</v>
      </c>
      <c r="L758" t="str">
        <f>"19/04/2021"</f>
        <v>19/04/2021</v>
      </c>
      <c r="M758" t="str">
        <f>""</f>
        <v/>
      </c>
      <c r="N758" t="str">
        <f>"Trovò s.r.l. Via Idrovora, 3 - 35020 Codevigo (PD)"</f>
        <v>Trovò s.r.l. Via Idrovora, 3 - 35020 Codevigo (PD)</v>
      </c>
      <c r="O758" t="str">
        <f>"Trovò s.r.l. Via Idrovora, 3 - 35020 Codevigo (PD)"</f>
        <v>Trovò s.r.l. Via Idrovora, 3 - 35020 Codevigo (PD)</v>
      </c>
      <c r="P758" t="str">
        <f>"ZF63155D2F: [360.00€ ]"</f>
        <v>ZF63155D2F: [360.00€ ]</v>
      </c>
      <c r="Q758" t="str">
        <f>""</f>
        <v/>
      </c>
      <c r="R758" t="str">
        <f>""</f>
        <v/>
      </c>
      <c r="S758" t="str">
        <f>""</f>
        <v/>
      </c>
      <c r="T758" t="str">
        <f>"https://portaletrasparenza.consorziobacchiglione.it/dettagli/attodigara/6799/trasporto-escavatore-a-noleggio-da-scolo-brentella-vecchia-nord-a-scolo-scossia.html"</f>
        <v>https://portaletrasparenza.consorziobacchiglione.it/dettagli/attodigara/6799/trasporto-escavatore-a-noleggio-da-scolo-brentella-vecchia-nord-a-scolo-scossia.html</v>
      </c>
      <c r="U758" t="str">
        <f>"https://portaletrasparenza.consorziobacchiglione.it/download/attodigara/6799/63ac457e8d218.PDF"</f>
        <v>https://portaletrasparenza.consorziobacchiglione.it/download/attodigara/6799/63ac457e8d218.PDF</v>
      </c>
      <c r="V7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59" spans="1:22" x14ac:dyDescent="0.3">
      <c r="A759" t="str">
        <f>"Affidamento"</f>
        <v>Affidamento</v>
      </c>
      <c r="B759" t="str">
        <f>"Manutenzione e riparazione mezzo con targa: AKV813"</f>
        <v>Manutenzione e riparazione mezzo con targa: AKV813</v>
      </c>
      <c r="C759" t="str">
        <f>"ZE931558B3"</f>
        <v>ZE931558B3</v>
      </c>
      <c r="D759" t="str">
        <f>"14/04/2021"</f>
        <v>14/04/2021</v>
      </c>
      <c r="E759" t="str">
        <f>""</f>
        <v/>
      </c>
      <c r="F759" t="str">
        <f>""</f>
        <v/>
      </c>
      <c r="G759" t="str">
        <f>"1111.00"</f>
        <v>1111.00</v>
      </c>
      <c r="H759" t="str">
        <f>"Consorzio di bonifica Bacchiglione"</f>
        <v>Consorzio di bonifica Bacchiglione</v>
      </c>
      <c r="I759" t="str">
        <f>"92223390284"</f>
        <v>92223390284</v>
      </c>
      <c r="J759" t="str">
        <f>"23-AFFIDAMENTO DIRETTO"</f>
        <v>23-AFFIDAMENTO DIRETTO</v>
      </c>
      <c r="K759" t="str">
        <f>"13/04/2021"</f>
        <v>13/04/2021</v>
      </c>
      <c r="L759" t="str">
        <f>"21/04/2021"</f>
        <v>21/04/2021</v>
      </c>
      <c r="M759" t="str">
        <f>""</f>
        <v/>
      </c>
      <c r="N759" t="str">
        <f>"Officina Biesse S.n.c. Via Matteotti 24 35020 Arzergrande PD"</f>
        <v>Officina Biesse S.n.c. Via Matteotti 24 35020 Arzergrande PD</v>
      </c>
      <c r="O759" t="str">
        <f>"Officina Biesse S.n.c. Via Matteotti 24 35020 Arzergrande PD"</f>
        <v>Officina Biesse S.n.c. Via Matteotti 24 35020 Arzergrande PD</v>
      </c>
      <c r="P759" t="str">
        <f>"ZE931558B3: [1111.00€ ]"</f>
        <v>ZE931558B3: [1111.00€ ]</v>
      </c>
      <c r="Q759" t="str">
        <f>""</f>
        <v/>
      </c>
      <c r="R759" t="str">
        <f>""</f>
        <v/>
      </c>
      <c r="S759" t="str">
        <f>""</f>
        <v/>
      </c>
      <c r="T759" t="str">
        <f>"https://portaletrasparenza.consorziobacchiglione.it/dettagli/attodigara/6798/manutenzione-e-riparazione-mezzo-con-targa-akv813.html"</f>
        <v>https://portaletrasparenza.consorziobacchiglione.it/dettagli/attodigara/6798/manutenzione-e-riparazione-mezzo-con-targa-akv813.html</v>
      </c>
      <c r="U759" t="str">
        <f>"https://portaletrasparenza.consorziobacchiglione.it/download/attodigara/6798/63ac457e54745.PDF"</f>
        <v>https://portaletrasparenza.consorziobacchiglione.it/download/attodigara/6798/63ac457e54745.PDF</v>
      </c>
      <c r="V75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60" spans="1:22" x14ac:dyDescent="0.3">
      <c r="A760" t="str">
        <f>"Affidamento"</f>
        <v>Affidamento</v>
      </c>
      <c r="B760" t="str">
        <f>"Fornitura MC 6,50 di calcestruzzo RCK 300 S4 per lavori presso scolo Superiore di Casalserugo"</f>
        <v>Fornitura MC 6,50 di calcestruzzo RCK 300 S4 per lavori presso scolo Superiore di Casalserugo</v>
      </c>
      <c r="C760" t="str">
        <f>"ZD9315875F"</f>
        <v>ZD9315875F</v>
      </c>
      <c r="D760" t="str">
        <f>"14/04/2021"</f>
        <v>14/04/2021</v>
      </c>
      <c r="E760" t="str">
        <f>""</f>
        <v/>
      </c>
      <c r="F760" t="str">
        <f>""</f>
        <v/>
      </c>
      <c r="G760" t="str">
        <f>"429.00"</f>
        <v>429.00</v>
      </c>
      <c r="H760" t="str">
        <f>"Consorzio di bonifica Bacchiglione"</f>
        <v>Consorzio di bonifica Bacchiglione</v>
      </c>
      <c r="I760" t="str">
        <f>"92223390284"</f>
        <v>92223390284</v>
      </c>
      <c r="J760" t="str">
        <f>"23-AFFIDAMENTO DIRETTO"</f>
        <v>23-AFFIDAMENTO DIRETTO</v>
      </c>
      <c r="K760" t="str">
        <f>"13/04/2021"</f>
        <v>13/04/2021</v>
      </c>
      <c r="L760" t="str">
        <f>"14/04/2021"</f>
        <v>14/04/2021</v>
      </c>
      <c r="M760" t="str">
        <f>""</f>
        <v/>
      </c>
      <c r="N760" t="str">
        <f>"Zagolin Giovanni s.r.l. Via Gelsi 56 35028 Piove di Sacco PD"</f>
        <v>Zagolin Giovanni s.r.l. Via Gelsi 56 35028 Piove di Sacco PD</v>
      </c>
      <c r="O760" t="str">
        <f>"Zagolin Giovanni s.r.l. Via Gelsi 56 35028 Piove di Sacco PD"</f>
        <v>Zagolin Giovanni s.r.l. Via Gelsi 56 35028 Piove di Sacco PD</v>
      </c>
      <c r="P760" t="str">
        <f>"ZD9315875F: [0.00€ ]"</f>
        <v>ZD9315875F: [0.00€ ]</v>
      </c>
      <c r="Q760" t="str">
        <f>""</f>
        <v/>
      </c>
      <c r="R760" t="str">
        <f>""</f>
        <v/>
      </c>
      <c r="S760" t="str">
        <f>""</f>
        <v/>
      </c>
      <c r="T760" t="str">
        <f>"https://portaletrasparenza.consorziobacchiglione.it/dettagli/attodigara/6801/fornitura-mc-6-50-di-calcestruzzo-rck-300-s4-per-lavori-presso-scolo-superiore-di-casalserugo.html"</f>
        <v>https://portaletrasparenza.consorziobacchiglione.it/dettagli/attodigara/6801/fornitura-mc-6-50-di-calcestruzzo-rck-300-s4-per-lavori-presso-scolo-superiore-di-casalserugo.html</v>
      </c>
      <c r="U760" t="str">
        <f>"https://portaletrasparenza.consorziobacchiglione.it/download/attodigara/6801/62a209db6e96c.PDF"</f>
        <v>https://portaletrasparenza.consorziobacchiglione.it/download/attodigara/6801/62a209db6e96c.PDF</v>
      </c>
      <c r="V760">
        <f>(SUBSTITUTE(Tabella1[[#This Row],[Importo di aggiudicazione]],".",","))-(SUBSTITUTE(  SUBSTITUTE(          SUBSTITUTE(Tabella1[[#This Row],[Dettaglio somme liquidate]],Tabella1[[#This Row],[CIG]]&amp;": [",""),"€ ]",""),".",","))</f>
        <v>429</v>
      </c>
    </row>
    <row r="761" spans="1:22" x14ac:dyDescent="0.3">
      <c r="A761" t="str">
        <f>"Affidamento"</f>
        <v>Affidamento</v>
      </c>
      <c r="B761" t="str">
        <f>"Installazione sgrigliatore in corrispondenza inizio tombinatura su scolo Orsaro in Corso Spagna Zona Industriale Padova."</f>
        <v>Installazione sgrigliatore in corrispondenza inizio tombinatura su scolo Orsaro in Corso Spagna Zona Industriale Padova.</v>
      </c>
      <c r="C761" t="str">
        <f>"ZE519DC5E0"</f>
        <v>ZE519DC5E0</v>
      </c>
      <c r="D761" t="str">
        <f>"04/11/2021"</f>
        <v>04/11/2021</v>
      </c>
      <c r="E761" t="str">
        <f>""</f>
        <v/>
      </c>
      <c r="F761" t="str">
        <f>""</f>
        <v/>
      </c>
      <c r="G761" t="str">
        <f>"25364.00"</f>
        <v>25364.00</v>
      </c>
      <c r="H761" t="str">
        <f>"Consorzio di bonifica Bacchiglione"</f>
        <v>Consorzio di bonifica Bacchiglione</v>
      </c>
      <c r="I761" t="str">
        <f>"92223390284"</f>
        <v>92223390284</v>
      </c>
      <c r="J761" t="str">
        <f>"23-AFFIDAMENTO DIRETTO"</f>
        <v>23-AFFIDAMENTO DIRETTO</v>
      </c>
      <c r="K761" t="str">
        <f>"13/05/2021"</f>
        <v>13/05/2021</v>
      </c>
      <c r="L761" t="str">
        <f>"30/11/2021"</f>
        <v>30/11/2021</v>
      </c>
      <c r="M761" t="str">
        <f>""</f>
        <v/>
      </c>
      <c r="N761" t="str">
        <f>"Officina Biesse S.n.c. Via Matteotti 24 35020 Arzergrande PD | Twincad S.R.L. Via Don Milani 1 45100 Rovigo | API S.p.A. Via Brodolini 5A 20089 Rozzano MI"</f>
        <v>Officina Biesse S.n.c. Via Matteotti 24 35020 Arzergrande PD | Twincad S.R.L. Via Don Milani 1 45100 Rovigo | API S.p.A. Via Brodolini 5A 20089 Rozzano MI</v>
      </c>
      <c r="O761" t="str">
        <f>"Twincad S.R.L."</f>
        <v>Twincad S.R.L.</v>
      </c>
      <c r="P761" t="str">
        <f>"ZE519DC5E0: [25364.00€ ]"</f>
        <v>ZE519DC5E0: [25364.00€ ]</v>
      </c>
      <c r="Q761" t="str">
        <f>""</f>
        <v/>
      </c>
      <c r="R761" t="str">
        <f>""</f>
        <v/>
      </c>
      <c r="S761" t="str">
        <f>""</f>
        <v/>
      </c>
      <c r="T761" t="str">
        <f>"https://portaletrasparenza.consorziobacchiglione.it/dettagli/attodigara/420/installazione-sgrigliatore-in-corrispondenza-inizio-tombinatura-su-scolo-orsaro-in-corso-spagna-zona-industriale-padova.html"</f>
        <v>https://portaletrasparenza.consorziobacchiglione.it/dettagli/attodigara/420/installazione-sgrigliatore-in-corrispondenza-inizio-tombinatura-su-scolo-orsaro-in-corso-spagna-zona-industriale-padova.html</v>
      </c>
      <c r="U761" t="str">
        <f>""</f>
        <v/>
      </c>
      <c r="V76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62" spans="1:22" x14ac:dyDescent="0.3">
      <c r="A762" t="str">
        <f>"Affidamento"</f>
        <v>Affidamento</v>
      </c>
      <c r="B762" t="str">
        <f>"Fornitura contenitore mobile per trasporto urea."</f>
        <v>Fornitura contenitore mobile per trasporto urea.</v>
      </c>
      <c r="C762" t="str">
        <f>"ZB419DB6B5"</f>
        <v>ZB419DB6B5</v>
      </c>
      <c r="D762" t="str">
        <f>"04/11/2021"</f>
        <v>04/11/2021</v>
      </c>
      <c r="E762" t="str">
        <f>""</f>
        <v/>
      </c>
      <c r="F762" t="str">
        <f>""</f>
        <v/>
      </c>
      <c r="G762" t="str">
        <f>"885.00"</f>
        <v>885.00</v>
      </c>
      <c r="H762" t="str">
        <f>"Consorzio di bonifica Bacchiglione"</f>
        <v>Consorzio di bonifica Bacchiglione</v>
      </c>
      <c r="I762" t="str">
        <f>"92223390284"</f>
        <v>92223390284</v>
      </c>
      <c r="J762" t="str">
        <f>"23-AFFIDAMENTO DIRETTO"</f>
        <v>23-AFFIDAMENTO DIRETTO</v>
      </c>
      <c r="K762" t="str">
        <f>"13/05/2021"</f>
        <v>13/05/2021</v>
      </c>
      <c r="L762" t="str">
        <f>"11/07/2021"</f>
        <v>11/07/2021</v>
      </c>
      <c r="M762" t="str">
        <f>""</f>
        <v/>
      </c>
      <c r="N762" t="str">
        <f>"Emiliana Serbatoi Via Largo Maestri del Lavoro 40 41011 Campogalliano MO"</f>
        <v>Emiliana Serbatoi Via Largo Maestri del Lavoro 40 41011 Campogalliano MO</v>
      </c>
      <c r="O762" t="str">
        <f>"Emiliana Serbatoi Via Largo Maestri del Lavoro 40 41011 Campogalliano MO"</f>
        <v>Emiliana Serbatoi Via Largo Maestri del Lavoro 40 41011 Campogalliano MO</v>
      </c>
      <c r="P762" t="str">
        <f>"ZB419DB6B5: [885.00€ ]"</f>
        <v>ZB419DB6B5: [885.00€ ]</v>
      </c>
      <c r="Q762" t="str">
        <f>""</f>
        <v/>
      </c>
      <c r="R762" t="str">
        <f>""</f>
        <v/>
      </c>
      <c r="S762" t="str">
        <f>""</f>
        <v/>
      </c>
      <c r="T762" t="str">
        <f>"https://portaletrasparenza.consorziobacchiglione.it/dettagli/attodigara/419/fornitura-contenitore-mobile-per-trasporto-urea.html"</f>
        <v>https://portaletrasparenza.consorziobacchiglione.it/dettagli/attodigara/419/fornitura-contenitore-mobile-per-trasporto-urea.html</v>
      </c>
      <c r="U762" t="str">
        <f>""</f>
        <v/>
      </c>
      <c r="V76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63" spans="1:22" x14ac:dyDescent="0.3">
      <c r="A763" t="str">
        <f>"Affidamento"</f>
        <v>Affidamento</v>
      </c>
      <c r="B763" t="str">
        <f>"Incombenze catastali per cancellazioni immobili presso Agenzia del Territorio."</f>
        <v>Incombenze catastali per cancellazioni immobili presso Agenzia del Territorio.</v>
      </c>
      <c r="C763" t="str">
        <f>"ZA119DB09B"</f>
        <v>ZA119DB09B</v>
      </c>
      <c r="D763" t="str">
        <f>"04/11/2021"</f>
        <v>04/11/2021</v>
      </c>
      <c r="E763" t="str">
        <f>""</f>
        <v/>
      </c>
      <c r="F763" t="str">
        <f>""</f>
        <v/>
      </c>
      <c r="G763" t="str">
        <f>"945.00"</f>
        <v>945.00</v>
      </c>
      <c r="H763" t="str">
        <f>"Consorzio di bonifica Bacchiglione"</f>
        <v>Consorzio di bonifica Bacchiglione</v>
      </c>
      <c r="I763" t="str">
        <f>"92223390284"</f>
        <v>92223390284</v>
      </c>
      <c r="J763" t="str">
        <f>"23-AFFIDAMENTO DIRETTO"</f>
        <v>23-AFFIDAMENTO DIRETTO</v>
      </c>
      <c r="K763" t="str">
        <f>"13/05/2021"</f>
        <v>13/05/2021</v>
      </c>
      <c r="L763" t="str">
        <f>"29/09/2021"</f>
        <v>29/09/2021</v>
      </c>
      <c r="M763" t="str">
        <f>""</f>
        <v/>
      </c>
      <c r="N763" t="str">
        <f>"Geometra Luca Boccon Via Dante 4D 35020 Casalserugo PD"</f>
        <v>Geometra Luca Boccon Via Dante 4D 35020 Casalserugo PD</v>
      </c>
      <c r="O763" t="str">
        <f>"Geometra Luca Boccon Via Dante 4D 35020 Casalserugo PD"</f>
        <v>Geometra Luca Boccon Via Dante 4D 35020 Casalserugo PD</v>
      </c>
      <c r="P763" t="str">
        <f>"ZA119DB09B: [945.00€ ]"</f>
        <v>ZA119DB09B: [945.00€ ]</v>
      </c>
      <c r="Q763" t="str">
        <f>""</f>
        <v/>
      </c>
      <c r="R763" t="str">
        <f>""</f>
        <v/>
      </c>
      <c r="S763" t="str">
        <f>""</f>
        <v/>
      </c>
      <c r="T763" t="str">
        <f>"https://portaletrasparenza.consorziobacchiglione.it/dettagli/attodigara/418/incombenze-catastali-per-cancellazioni-immobili-presso-agenzia-del-territorio.html"</f>
        <v>https://portaletrasparenza.consorziobacchiglione.it/dettagli/attodigara/418/incombenze-catastali-per-cancellazioni-immobili-presso-agenzia-del-territorio.html</v>
      </c>
      <c r="U763" t="str">
        <f>""</f>
        <v/>
      </c>
      <c r="V7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64" spans="1:22" x14ac:dyDescent="0.3">
      <c r="A764" t="str">
        <f>"Affidamento"</f>
        <v>Affidamento</v>
      </c>
      <c r="B764" t="str">
        <f>"Nuovo Impianto elettrico per ampliamento uffici sede consorziale."</f>
        <v>Nuovo Impianto elettrico per ampliamento uffici sede consorziale.</v>
      </c>
      <c r="C764" t="str">
        <f>"ZAB19DAD6B"</f>
        <v>ZAB19DAD6B</v>
      </c>
      <c r="D764" t="str">
        <f>"04/11/2021"</f>
        <v>04/11/2021</v>
      </c>
      <c r="E764" t="str">
        <f>""</f>
        <v/>
      </c>
      <c r="F764" t="str">
        <f>""</f>
        <v/>
      </c>
      <c r="G764" t="str">
        <f>"4780.00"</f>
        <v>4780.00</v>
      </c>
      <c r="H764" t="str">
        <f>"Consorzio di bonifica Bacchiglione"</f>
        <v>Consorzio di bonifica Bacchiglione</v>
      </c>
      <c r="I764" t="str">
        <f>"92223390284"</f>
        <v>92223390284</v>
      </c>
      <c r="J764" t="str">
        <f>"23-AFFIDAMENTO DIRETTO"</f>
        <v>23-AFFIDAMENTO DIRETTO</v>
      </c>
      <c r="K764" t="str">
        <f>"13/05/2021"</f>
        <v>13/05/2021</v>
      </c>
      <c r="L764" t="str">
        <f>"30/11/2021"</f>
        <v>30/11/2021</v>
      </c>
      <c r="M764" t="str">
        <f>""</f>
        <v/>
      </c>
      <c r="N764" t="str">
        <f>"A.S.P. Tecnologie srl Via Padre Nicolini 29 35013 Cittadella PD | GPG SRL Via Marco Polo 22 35020 Albignasego PD | Picello s.r.l. V.le del Progresso 14A 35026 Conselve PD"</f>
        <v>A.S.P. Tecnologie srl Via Padre Nicolini 29 35013 Cittadella PD | GPG SRL Via Marco Polo 22 35020 Albignasego PD | Picello s.r.l. V.le del Progresso 14A 35026 Conselve PD</v>
      </c>
      <c r="O764" t="str">
        <f>"A.S.P. Tecnologie srl Via Padre Nicolini 29 35013 Cittadella PD"</f>
        <v>A.S.P. Tecnologie srl Via Padre Nicolini 29 35013 Cittadella PD</v>
      </c>
      <c r="P764" t="str">
        <f>"ZAB19DAD6B: [4780.00€ ]"</f>
        <v>ZAB19DAD6B: [4780.00€ ]</v>
      </c>
      <c r="Q764" t="str">
        <f>""</f>
        <v/>
      </c>
      <c r="R764" t="str">
        <f>""</f>
        <v/>
      </c>
      <c r="S764" t="str">
        <f>""</f>
        <v/>
      </c>
      <c r="T764" t="str">
        <f>"https://portaletrasparenza.consorziobacchiglione.it/dettagli/attodigara/417/nuovo-impianto-elettrico-per-ampliamento-uffici-sede-consorziale.html"</f>
        <v>https://portaletrasparenza.consorziobacchiglione.it/dettagli/attodigara/417/nuovo-impianto-elettrico-per-ampliamento-uffici-sede-consorziale.html</v>
      </c>
      <c r="U764" t="str">
        <f>""</f>
        <v/>
      </c>
      <c r="V7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65" spans="1:22" x14ac:dyDescent="0.3">
      <c r="A765" t="str">
        <f>"Affidamento"</f>
        <v>Affidamento</v>
      </c>
      <c r="B765" t="str">
        <f>"Lavori di sistemazione tratti stradali esistenti in Via Piave nel comune di Montegrotto Terme (PD)"</f>
        <v>Lavori di sistemazione tratti stradali esistenti in Via Piave nel comune di Montegrotto Terme (PD)</v>
      </c>
      <c r="C765" t="str">
        <f>"ZDB31B6407"</f>
        <v>ZDB31B6407</v>
      </c>
      <c r="D765" t="str">
        <f>"13/05/2021"</f>
        <v>13/05/2021</v>
      </c>
      <c r="E765" t="str">
        <f>""</f>
        <v/>
      </c>
      <c r="F765" t="str">
        <f>""</f>
        <v/>
      </c>
      <c r="G765" t="str">
        <f>"8925.00"</f>
        <v>8925.00</v>
      </c>
      <c r="H765" t="str">
        <f>"Consorzio di bonifica Bacchiglione"</f>
        <v>Consorzio di bonifica Bacchiglione</v>
      </c>
      <c r="I765" t="str">
        <f>"92223390284"</f>
        <v>92223390284</v>
      </c>
      <c r="J765" t="str">
        <f>"23-AFFIDAMENTO DIRETTO"</f>
        <v>23-AFFIDAMENTO DIRETTO</v>
      </c>
      <c r="K765" t="str">
        <f>"13/05/2021"</f>
        <v>13/05/2021</v>
      </c>
      <c r="L765" t="str">
        <f>"28/09/2021"</f>
        <v>28/09/2021</v>
      </c>
      <c r="M765" t="str">
        <f>""</f>
        <v/>
      </c>
      <c r="N765" t="str">
        <f>"V.P.S. srl Via Morandina 3 - 35020 Codevigo (PD)"</f>
        <v>V.P.S. srl Via Morandina 3 - 35020 Codevigo (PD)</v>
      </c>
      <c r="O765" t="str">
        <f>"V.P.S. srl Via Morandina 3 - 35020 Codevigo (PD)"</f>
        <v>V.P.S. srl Via Morandina 3 - 35020 Codevigo (PD)</v>
      </c>
      <c r="P765" t="s">
        <v>171</v>
      </c>
      <c r="Q765" t="str">
        <f>""</f>
        <v/>
      </c>
      <c r="R765" t="str">
        <f>""</f>
        <v/>
      </c>
      <c r="S765" t="str">
        <f>""</f>
        <v/>
      </c>
      <c r="T765" t="str">
        <f>"https://portaletrasparenza.consorziobacchiglione.it/dettagli/attodigara/6872/lavori-di-sistemazione-tratti-stradali-esistenti-in-via-piave-nel-comune-di-montegrotto-terme-pd.html"</f>
        <v>https://portaletrasparenza.consorziobacchiglione.it/dettagli/attodigara/6872/lavori-di-sistemazione-tratti-stradali-esistenti-in-via-piave-nel-comune-di-montegrotto-terme-pd.html</v>
      </c>
      <c r="U765" t="str">
        <f>"https://portaletrasparenza.consorziobacchiglione.it/download/attodigara/6872/63ac458adce5d.PDF"</f>
        <v>https://portaletrasparenza.consorziobacchiglione.it/download/attodigara/6872/63ac458adce5d.PDF</v>
      </c>
      <c r="V7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66" spans="1:22" x14ac:dyDescent="0.3">
      <c r="A766" t="str">
        <f>"Affidamento"</f>
        <v>Affidamento</v>
      </c>
      <c r="B766" t="str">
        <f>"Fornitura materiale vario per Bacino Sesta Presa"</f>
        <v>Fornitura materiale vario per Bacino Sesta Presa</v>
      </c>
      <c r="C766" t="str">
        <f>"ZE131B7A3C"</f>
        <v>ZE131B7A3C</v>
      </c>
      <c r="D766" t="str">
        <f>"13/05/2021"</f>
        <v>13/05/2021</v>
      </c>
      <c r="E766" t="str">
        <f>""</f>
        <v/>
      </c>
      <c r="F766" t="str">
        <f>""</f>
        <v/>
      </c>
      <c r="G766" t="str">
        <f>"657.46"</f>
        <v>657.46</v>
      </c>
      <c r="H766" t="str">
        <f>"Consorzio di bonifica Bacchiglione"</f>
        <v>Consorzio di bonifica Bacchiglione</v>
      </c>
      <c r="I766" t="str">
        <f>"92223390284"</f>
        <v>92223390284</v>
      </c>
      <c r="J766" t="str">
        <f>"23-AFFIDAMENTO DIRETTO"</f>
        <v>23-AFFIDAMENTO DIRETTO</v>
      </c>
      <c r="K766" t="str">
        <f>"13/05/2021"</f>
        <v>13/05/2021</v>
      </c>
      <c r="L766" t="str">
        <f>"13/05/2021"</f>
        <v>13/05/2021</v>
      </c>
      <c r="M766" t="str">
        <f>""</f>
        <v/>
      </c>
      <c r="N766" t="str">
        <f>"Ferramenta e cartoleria da Genny Via Vallona 65 - 35020 Conche di Codevigo"</f>
        <v>Ferramenta e cartoleria da Genny Via Vallona 65 - 35020 Conche di Codevigo</v>
      </c>
      <c r="O766" t="str">
        <f>"Ferramenta e cartoleria da Genny Via Vallona 65 - 35020 Conche di Codevigo"</f>
        <v>Ferramenta e cartoleria da Genny Via Vallona 65 - 35020 Conche di Codevigo</v>
      </c>
      <c r="P766" t="str">
        <f>"ZE131B7A3C: [657.45€ ]"</f>
        <v>ZE131B7A3C: [657.45€ ]</v>
      </c>
      <c r="Q766" t="str">
        <f>""</f>
        <v/>
      </c>
      <c r="R766" t="str">
        <f>""</f>
        <v/>
      </c>
      <c r="S766" t="str">
        <f>""</f>
        <v/>
      </c>
      <c r="T766" t="str">
        <f>"https://portaletrasparenza.consorziobacchiglione.it/dettagli/attodigara/6874/fornitura-materiale-vario-per-bacino-sesta-presa.html"</f>
        <v>https://portaletrasparenza.consorziobacchiglione.it/dettagli/attodigara/6874/fornitura-materiale-vario-per-bacino-sesta-presa.html</v>
      </c>
      <c r="U766" t="str">
        <f>"https://portaletrasparenza.consorziobacchiglione.it/download/attodigara/6874/63ac458b21a47.PDF"</f>
        <v>https://portaletrasparenza.consorziobacchiglione.it/download/attodigara/6874/63ac458b21a47.PDF</v>
      </c>
      <c r="V766">
        <f>(SUBSTITUTE(Tabella1[[#This Row],[Importo di aggiudicazione]],".",","))-(SUBSTITUTE(  SUBSTITUTE(          SUBSTITUTE(Tabella1[[#This Row],[Dettaglio somme liquidate]],Tabella1[[#This Row],[CIG]]&amp;": [",""),"€ ]",""),".",","))</f>
        <v>9.9999999999909051E-3</v>
      </c>
    </row>
    <row r="767" spans="1:22" x14ac:dyDescent="0.3">
      <c r="A767" t="str">
        <f>"Affidamento"</f>
        <v>Affidamento</v>
      </c>
      <c r="B767" t="str">
        <f>"SERVIZIO DI STAMPA, IMBUSTAMENTO E CONSEGNA AL RECAPITATORE DEGLI AVVISI DI PAGAMENTO PAGOPA ANNO 2020 CON OPZIONE UNILATERALE DI ASSEGNARE IL SERVIZIO PER UNA ULTERIORE ANNUALITA'. ESERCIZIO DELL'OPZIONE ANNO 2021"</f>
        <v>SERVIZIO DI STAMPA, IMBUSTAMENTO E CONSEGNA AL RECAPITATORE DEGLI AVVISI DI PAGAMENTO PAGOPA ANNO 2020 CON OPZIONE UNILATERALE DI ASSEGNARE IL SERVIZIO PER UNA ULTERIORE ANNUALITA'. ESERCIZIO DELL'OPZIONE ANNO 2021</v>
      </c>
      <c r="C767" t="str">
        <f>"Z632DBBF97"</f>
        <v>Z632DBBF97</v>
      </c>
      <c r="D767" t="str">
        <f>"13/05/2021"</f>
        <v>13/05/2021</v>
      </c>
      <c r="E767" t="str">
        <f>""</f>
        <v/>
      </c>
      <c r="F767" t="str">
        <f>""</f>
        <v/>
      </c>
      <c r="G767" t="str">
        <f>"12295.00"</f>
        <v>12295.00</v>
      </c>
      <c r="H767" t="str">
        <f>"CONSORZIO DI BONIFICA BACCHIGLIONE"</f>
        <v>CONSORZIO DI BONIFICA BACCHIGLIONE</v>
      </c>
      <c r="I767" t="str">
        <f>"92223390284"</f>
        <v>92223390284</v>
      </c>
      <c r="J767" t="str">
        <f>"23-AFFIDAMENTO DIRETTO"</f>
        <v>23-AFFIDAMENTO DIRETTO</v>
      </c>
      <c r="K767" t="str">
        <f>"13/05/2021"</f>
        <v>13/05/2021</v>
      </c>
      <c r="L767" t="str">
        <f>"30/06/2021"</f>
        <v>30/06/2021</v>
      </c>
      <c r="M767" t="str">
        <f>""</f>
        <v/>
      </c>
      <c r="N767" t="str">
        <f>"IMBALPLAST S.R.L. | POLIGRAFICO ROGGERO E TORTIA S.P.A. | POLIGRAFICO ROGGERO &amp; TORTIA S.P.A."</f>
        <v>IMBALPLAST S.R.L. | POLIGRAFICO ROGGERO E TORTIA S.P.A. | POLIGRAFICO ROGGERO &amp; TORTIA S.P.A.</v>
      </c>
      <c r="O767" t="str">
        <f>"POLIGRAFICO ROGGERO &amp; TORTIA S.P.A."</f>
        <v>POLIGRAFICO ROGGERO &amp; TORTIA S.P.A.</v>
      </c>
      <c r="P767" t="str">
        <f>"Z632DBBF97: [11459.09€ ]"</f>
        <v>Z632DBBF97: [11459.09€ ]</v>
      </c>
      <c r="Q767" t="str">
        <f>""</f>
        <v/>
      </c>
      <c r="R767" t="str">
        <f>""</f>
        <v/>
      </c>
      <c r="S767" t="str">
        <f>""</f>
        <v/>
      </c>
      <c r="T767" t="s">
        <v>104</v>
      </c>
      <c r="U767" t="str">
        <f>"https://portaletrasparenza.consorziobacchiglione.it/download/attodigara/3702/62a209f80cdbc.PDF"</f>
        <v>https://portaletrasparenza.consorziobacchiglione.it/download/attodigara/3702/62a209f80cdbc.PDF</v>
      </c>
      <c r="V767">
        <f>(SUBSTITUTE(Tabella1[[#This Row],[Importo di aggiudicazione]],".",","))-(SUBSTITUTE(  SUBSTITUTE(          SUBSTITUTE(Tabella1[[#This Row],[Dettaglio somme liquidate]],Tabella1[[#This Row],[CIG]]&amp;": [",""),"€ ]",""),".",","))</f>
        <v>835.90999999999985</v>
      </c>
    </row>
    <row r="768" spans="1:22" x14ac:dyDescent="0.3">
      <c r="A768" t="str">
        <f>"Affidamento"</f>
        <v>Affidamento</v>
      </c>
      <c r="B768" t="str">
        <f>"Riparazione pneumatico su mezzo targato: EW924ED"</f>
        <v>Riparazione pneumatico su mezzo targato: EW924ED</v>
      </c>
      <c r="C768" t="str">
        <f>"Z1431BA311"</f>
        <v>Z1431BA311</v>
      </c>
      <c r="D768" t="str">
        <f>"14/05/2021"</f>
        <v>14/05/2021</v>
      </c>
      <c r="E768" t="str">
        <f>""</f>
        <v/>
      </c>
      <c r="F768" t="str">
        <f>""</f>
        <v/>
      </c>
      <c r="G768" t="str">
        <f>"30.00"</f>
        <v>30.00</v>
      </c>
      <c r="H768" t="str">
        <f>"Consorzio di bonifica Bacchiglione"</f>
        <v>Consorzio di bonifica Bacchiglione</v>
      </c>
      <c r="I768" t="str">
        <f>"92223390284"</f>
        <v>92223390284</v>
      </c>
      <c r="J768" t="str">
        <f>"23-AFFIDAMENTO DIRETTO"</f>
        <v>23-AFFIDAMENTO DIRETTO</v>
      </c>
      <c r="K768" t="str">
        <f>"13/05/2021"</f>
        <v>13/05/2021</v>
      </c>
      <c r="L768" t="str">
        <f>"25/05/2021"</f>
        <v>25/05/2021</v>
      </c>
      <c r="M768" t="str">
        <f>""</f>
        <v/>
      </c>
      <c r="N768" t="str">
        <f>"Ri.gom.ma S.R.L. Via Orlando, 47 - 30173 Campalto (VE)"</f>
        <v>Ri.gom.ma S.R.L. Via Orlando, 47 - 30173 Campalto (VE)</v>
      </c>
      <c r="O768" t="str">
        <f>"Ri.gom.ma S.R.L. Via Orlando, 47 - 30173 Campalto (VE)"</f>
        <v>Ri.gom.ma S.R.L. Via Orlando, 47 - 30173 Campalto (VE)</v>
      </c>
      <c r="P768" t="str">
        <f>"Z1431BA311: [30.00€ ]"</f>
        <v>Z1431BA311: [30.00€ ]</v>
      </c>
      <c r="Q768" t="str">
        <f>""</f>
        <v/>
      </c>
      <c r="R768" t="str">
        <f>""</f>
        <v/>
      </c>
      <c r="S768" t="str">
        <f>""</f>
        <v/>
      </c>
      <c r="T768" t="str">
        <f>"https://portaletrasparenza.consorziobacchiglione.it/dettagli/attodigara/6875/riparazione-pneumatico-su-mezzo-targato-ew924ed.html"</f>
        <v>https://portaletrasparenza.consorziobacchiglione.it/dettagli/attodigara/6875/riparazione-pneumatico-su-mezzo-targato-ew924ed.html</v>
      </c>
      <c r="U768" t="str">
        <f>"https://portaletrasparenza.consorziobacchiglione.it/download/attodigara/6875/63ac458b5a546.PDF"</f>
        <v>https://portaletrasparenza.consorziobacchiglione.it/download/attodigara/6875/63ac458b5a546.PDF</v>
      </c>
      <c r="V7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69" spans="1:22" x14ac:dyDescent="0.3">
      <c r="A769" t="str">
        <f>"Affidamento"</f>
        <v>Affidamento</v>
      </c>
      <c r="B769" t="str">
        <f>"Fornitura antivibranti per motore presso motobarche Nettuno"</f>
        <v>Fornitura antivibranti per motore presso motobarche Nettuno</v>
      </c>
      <c r="C769" t="str">
        <f>"ZD631B64A4"</f>
        <v>ZD631B64A4</v>
      </c>
      <c r="D769" t="str">
        <f>"18/05/2021"</f>
        <v>18/05/2021</v>
      </c>
      <c r="E769" t="str">
        <f>""</f>
        <v/>
      </c>
      <c r="F769" t="str">
        <f>""</f>
        <v/>
      </c>
      <c r="G769" t="str">
        <f>"128.00"</f>
        <v>128.00</v>
      </c>
      <c r="H769" t="str">
        <f>"Consorzio di bonifica Bacchiglione"</f>
        <v>Consorzio di bonifica Bacchiglione</v>
      </c>
      <c r="I769" t="str">
        <f>"92223390284"</f>
        <v>92223390284</v>
      </c>
      <c r="J769" t="str">
        <f>"23-AFFIDAMENTO DIRETTO"</f>
        <v>23-AFFIDAMENTO DIRETTO</v>
      </c>
      <c r="K769" t="str">
        <f>"13/05/2021"</f>
        <v>13/05/2021</v>
      </c>
      <c r="L769" t="str">
        <f>"31/05/2021"</f>
        <v>31/05/2021</v>
      </c>
      <c r="M769" t="str">
        <f>""</f>
        <v/>
      </c>
      <c r="N769" t="str">
        <f>"Nettuno Motobarche di Delledonne Dario Via R.Passerini 11 26845 Codogno LO"</f>
        <v>Nettuno Motobarche di Delledonne Dario Via R.Passerini 11 26845 Codogno LO</v>
      </c>
      <c r="O769" t="str">
        <f>"Nettuno Motobarche di Delledonne Dario Via R.Passerini 11 26845 Codogno LO"</f>
        <v>Nettuno Motobarche di Delledonne Dario Via R.Passerini 11 26845 Codogno LO</v>
      </c>
      <c r="P769" t="str">
        <f>"ZD631B64A4: [128.00€ ]"</f>
        <v>ZD631B64A4: [128.00€ ]</v>
      </c>
      <c r="Q769" t="str">
        <f>""</f>
        <v/>
      </c>
      <c r="R769" t="str">
        <f>""</f>
        <v/>
      </c>
      <c r="S769" t="str">
        <f>""</f>
        <v/>
      </c>
      <c r="T769" t="str">
        <f>"https://portaletrasparenza.consorziobacchiglione.it/dettagli/attodigara/6873/fornitura-antivibranti-per-motore-presso-motobarche-nettuno.html"</f>
        <v>https://portaletrasparenza.consorziobacchiglione.it/dettagli/attodigara/6873/fornitura-antivibranti-per-motore-presso-motobarche-nettuno.html</v>
      </c>
      <c r="U769" t="str">
        <f>"https://portaletrasparenza.consorziobacchiglione.it/download/attodigara/6873/63ac458c8102e.PDF"</f>
        <v>https://portaletrasparenza.consorziobacchiglione.it/download/attodigara/6873/63ac458c8102e.PDF</v>
      </c>
      <c r="V76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70" spans="1:22" x14ac:dyDescent="0.3">
      <c r="A770" t="str">
        <f>"Affidamento"</f>
        <v>Affidamento</v>
      </c>
      <c r="B770" t="str">
        <f>"FORNITURA E STAMPA BUSTE E CARTELLINE CON INTESTAZIONE"</f>
        <v>FORNITURA E STAMPA BUSTE E CARTELLINE CON INTESTAZIONE</v>
      </c>
      <c r="C770" t="str">
        <f>"Z8C1A9CF08"</f>
        <v>Z8C1A9CF08</v>
      </c>
      <c r="D770" t="str">
        <f>"04/11/2021"</f>
        <v>04/11/2021</v>
      </c>
      <c r="E770" t="str">
        <f>""</f>
        <v/>
      </c>
      <c r="F770" t="str">
        <f>""</f>
        <v/>
      </c>
      <c r="G770" t="str">
        <f>"2025.00"</f>
        <v>2025.00</v>
      </c>
      <c r="H770" t="str">
        <f>"Consorzio di bonifica Bacchiglione"</f>
        <v>Consorzio di bonifica Bacchiglione</v>
      </c>
      <c r="I770" t="str">
        <f>"92223390284"</f>
        <v>92223390284</v>
      </c>
      <c r="J770" t="str">
        <f>"23-AFFIDAMENTO DIRETTO"</f>
        <v>23-AFFIDAMENTO DIRETTO</v>
      </c>
      <c r="K770" t="str">
        <f>"13/07/2021"</f>
        <v>13/07/2021</v>
      </c>
      <c r="L770" t="str">
        <f>"12/10/2021"</f>
        <v>12/10/2021</v>
      </c>
      <c r="M770" t="str">
        <f>""</f>
        <v/>
      </c>
      <c r="N770" t="str">
        <f>"TIPOGRAFIA VERONESE S.R.L."</f>
        <v>TIPOGRAFIA VERONESE S.R.L.</v>
      </c>
      <c r="O770" t="str">
        <f>"TIPOGRAFIA VERONESE S.R.L."</f>
        <v>TIPOGRAFIA VERONESE S.R.L.</v>
      </c>
      <c r="P770" t="s">
        <v>367</v>
      </c>
      <c r="Q770" t="str">
        <f>""</f>
        <v/>
      </c>
      <c r="R770" t="str">
        <f>""</f>
        <v/>
      </c>
      <c r="S770" t="str">
        <f>""</f>
        <v/>
      </c>
      <c r="T770" t="str">
        <f>"https://portaletrasparenza.consorziobacchiglione.it/dettagli/attodigara/582/fornitura-e-stampa-buste-e-cartelline-con-intestazione.html"</f>
        <v>https://portaletrasparenza.consorziobacchiglione.it/dettagli/attodigara/582/fornitura-e-stampa-buste-e-cartelline-con-intestazione.html</v>
      </c>
      <c r="U770" t="str">
        <f>""</f>
        <v/>
      </c>
      <c r="V77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71" spans="1:22" x14ac:dyDescent="0.3">
      <c r="A771" t="str">
        <f>"Affidamento"</f>
        <v>Affidamento</v>
      </c>
      <c r="B771" t="str">
        <f>"Trasporto escavatore Kubota cingolato 80 q.li da officina Vise (Tognana di Piove di Sacco) a impianto Idrovora Trezze"</f>
        <v>Trasporto escavatore Kubota cingolato 80 q.li da officina Vise (Tognana di Piove di Sacco) a impianto Idrovora Trezze</v>
      </c>
      <c r="C771" t="str">
        <f>"Z6932C42A9"</f>
        <v>Z6932C42A9</v>
      </c>
      <c r="D771" t="str">
        <f>"23/08/2021"</f>
        <v>23/08/2021</v>
      </c>
      <c r="E771" t="str">
        <f>""</f>
        <v/>
      </c>
      <c r="F771" t="str">
        <f>""</f>
        <v/>
      </c>
      <c r="G771" t="str">
        <f>"150.00"</f>
        <v>150.00</v>
      </c>
      <c r="H771" t="str">
        <f>"Consorzio di bonifica Bacchiglione"</f>
        <v>Consorzio di bonifica Bacchiglione</v>
      </c>
      <c r="I771" t="str">
        <f>"92223390284"</f>
        <v>92223390284</v>
      </c>
      <c r="J771" t="str">
        <f>"23-AFFIDAMENTO DIRETTO"</f>
        <v>23-AFFIDAMENTO DIRETTO</v>
      </c>
      <c r="K771" t="str">
        <f>"13/08/2021"</f>
        <v>13/08/2021</v>
      </c>
      <c r="L771" t="str">
        <f>"28/09/2021"</f>
        <v>28/09/2021</v>
      </c>
      <c r="M771" t="str">
        <f>""</f>
        <v/>
      </c>
      <c r="N771" t="str">
        <f>"Trovò s.r.l. Via Idrovora, 3 - 35020 Codevigo (PD)"</f>
        <v>Trovò s.r.l. Via Idrovora, 3 - 35020 Codevigo (PD)</v>
      </c>
      <c r="O771" t="str">
        <f>"Trovò s.r.l. Via Idrovora, 3 - 35020 Codevigo (PD)"</f>
        <v>Trovò s.r.l. Via Idrovora, 3 - 35020 Codevigo (PD)</v>
      </c>
      <c r="P771" t="s">
        <v>310</v>
      </c>
      <c r="Q771" t="str">
        <f>""</f>
        <v/>
      </c>
      <c r="R771" t="str">
        <f>""</f>
        <v/>
      </c>
      <c r="S771" t="str">
        <f>""</f>
        <v/>
      </c>
      <c r="T771" t="str">
        <f>"https://portaletrasparenza.consorziobacchiglione.it/dettagli/attodigara/7074/trasporto-escavatore-kubota-cingolato-80-q-li-da-officina-vise-tognana-di-piove-di-sacco-a-impianto-idrovora-trezze.html"</f>
        <v>https://portaletrasparenza.consorziobacchiglione.it/dettagli/attodigara/7074/trasporto-escavatore-kubota-cingolato-80-q-li-da-officina-vise-tognana-di-piove-di-sacco-a-impianto-idrovora-trezze.html</v>
      </c>
      <c r="U771" t="str">
        <f>"https://portaletrasparenza.consorziobacchiglione.it/download/attodigara/7074/63ac45b73a8ba.PDF"</f>
        <v>https://portaletrasparenza.consorziobacchiglione.it/download/attodigara/7074/63ac45b73a8ba.PDF</v>
      </c>
      <c r="V77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72" spans="1:22" x14ac:dyDescent="0.3">
      <c r="A772" t="str">
        <f>"Affidamento"</f>
        <v>Affidamento</v>
      </c>
      <c r="B772" t="str">
        <f>"Riparazione trattorino Viking n 2 C.O.S.Margherita."</f>
        <v>Riparazione trattorino Viking n 2 C.O.S.Margherita.</v>
      </c>
      <c r="C772" t="str">
        <f>"ZDA1B27D35"</f>
        <v>ZDA1B27D35</v>
      </c>
      <c r="D772" t="str">
        <f>"04/11/2021"</f>
        <v>04/11/2021</v>
      </c>
      <c r="E772" t="str">
        <f>""</f>
        <v/>
      </c>
      <c r="F772" t="str">
        <f>""</f>
        <v/>
      </c>
      <c r="G772" t="str">
        <f>"164.22"</f>
        <v>164.22</v>
      </c>
      <c r="H772" t="str">
        <f>"Consorzio di bonifica Bacchiglione"</f>
        <v>Consorzio di bonifica Bacchiglione</v>
      </c>
      <c r="I772" t="str">
        <f>"92223390284"</f>
        <v>92223390284</v>
      </c>
      <c r="J772" t="str">
        <f>"23-AFFIDAMENTO DIRETTO"</f>
        <v>23-AFFIDAMENTO DIRETTO</v>
      </c>
      <c r="K772" t="str">
        <f>"13/09/2021"</f>
        <v>13/09/2021</v>
      </c>
      <c r="L772" t="str">
        <f>"09/11/2021"</f>
        <v>09/11/2021</v>
      </c>
      <c r="M772" t="str">
        <f>""</f>
        <v/>
      </c>
      <c r="N772" t="str">
        <f>"Frizzarin Riccardo Via Papa Giovanni XXXIII 20 35026 Conselve PD"</f>
        <v>Frizzarin Riccardo Via Papa Giovanni XXXIII 20 35026 Conselve PD</v>
      </c>
      <c r="O772" t="str">
        <f>"Frizzarin Riccardo Via Papa Giovanni XXXIII 20 35026 Conselve PD"</f>
        <v>Frizzarin Riccardo Via Papa Giovanni XXXIII 20 35026 Conselve PD</v>
      </c>
      <c r="P772" t="str">
        <f>"ZDA1B27D35: [164.22€ ]"</f>
        <v>ZDA1B27D35: [164.22€ ]</v>
      </c>
      <c r="Q772" t="str">
        <f>""</f>
        <v/>
      </c>
      <c r="R772" t="str">
        <f>""</f>
        <v/>
      </c>
      <c r="S772" t="str">
        <f>""</f>
        <v/>
      </c>
      <c r="T772" t="str">
        <f>"https://portaletrasparenza.consorziobacchiglione.it/dettagli/attodigara/737/riparazione-trattorino-viking-n-2-c-o-s-margherita.html"</f>
        <v>https://portaletrasparenza.consorziobacchiglione.it/dettagli/attodigara/737/riparazione-trattorino-viking-n-2-c-o-s-margherita.html</v>
      </c>
      <c r="U772" t="str">
        <f>""</f>
        <v/>
      </c>
      <c r="V77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73" spans="1:22" x14ac:dyDescent="0.3">
      <c r="A773" t="str">
        <f>"Affidamento"</f>
        <v>Affidamento</v>
      </c>
      <c r="B773" t="str">
        <f>"Fornitura ricambi vari per decespugliatori C.O.S.Margherita."</f>
        <v>Fornitura ricambi vari per decespugliatori C.O.S.Margherita.</v>
      </c>
      <c r="C773" t="str">
        <f>"ZDF1B278AC"</f>
        <v>ZDF1B278AC</v>
      </c>
      <c r="D773" t="str">
        <f>"04/11/2021"</f>
        <v>04/11/2021</v>
      </c>
      <c r="E773" t="str">
        <f>""</f>
        <v/>
      </c>
      <c r="F773" t="str">
        <f>""</f>
        <v/>
      </c>
      <c r="G773" t="str">
        <f>"409.43"</f>
        <v>409.43</v>
      </c>
      <c r="H773" t="str">
        <f>"Consorzio di bonifica Bacchiglione"</f>
        <v>Consorzio di bonifica Bacchiglione</v>
      </c>
      <c r="I773" t="str">
        <f>"92223390284"</f>
        <v>92223390284</v>
      </c>
      <c r="J773" t="str">
        <f>"23-AFFIDAMENTO DIRETTO"</f>
        <v>23-AFFIDAMENTO DIRETTO</v>
      </c>
      <c r="K773" t="str">
        <f>"13/09/2021"</f>
        <v>13/09/2021</v>
      </c>
      <c r="L773" t="str">
        <f>"09/11/2021"</f>
        <v>09/11/2021</v>
      </c>
      <c r="M773" t="str">
        <f>""</f>
        <v/>
      </c>
      <c r="N773" t="str">
        <f>"Frizzarin Riccardo Via Papa Giovanni XXXIII 20 35026 Conselve PD"</f>
        <v>Frizzarin Riccardo Via Papa Giovanni XXXIII 20 35026 Conselve PD</v>
      </c>
      <c r="O773" t="str">
        <f>"Frizzarin Riccardo Via Papa Giovanni XXXIII 20 35026 Conselve PD"</f>
        <v>Frizzarin Riccardo Via Papa Giovanni XXXIII 20 35026 Conselve PD</v>
      </c>
      <c r="P773" t="str">
        <f>"ZDF1B278AC: [409.43€ ]"</f>
        <v>ZDF1B278AC: [409.43€ ]</v>
      </c>
      <c r="Q773" t="str">
        <f>""</f>
        <v/>
      </c>
      <c r="R773" t="str">
        <f>""</f>
        <v/>
      </c>
      <c r="S773" t="str">
        <f>""</f>
        <v/>
      </c>
      <c r="T773" t="str">
        <f>"https://portaletrasparenza.consorziobacchiglione.it/dettagli/attodigara/736/fornitura-ricambi-vari-per-decespugliatori-c-o-s-margherita.html"</f>
        <v>https://portaletrasparenza.consorziobacchiglione.it/dettagli/attodigara/736/fornitura-ricambi-vari-per-decespugliatori-c-o-s-margherita.html</v>
      </c>
      <c r="U773" t="str">
        <f>""</f>
        <v/>
      </c>
      <c r="V77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74" spans="1:22" x14ac:dyDescent="0.3">
      <c r="A774" t="str">
        <f>"Affidamento"</f>
        <v>Affidamento</v>
      </c>
      <c r="B774" t="str">
        <f>"Fornitura n 2 estintori, registro antincendio, foglio con etichette autoadesive per Idrovora Scolmatore Limenella Fossetta."</f>
        <v>Fornitura n 2 estintori, registro antincendio, foglio con etichette autoadesive per Idrovora Scolmatore Limenella Fossetta.</v>
      </c>
      <c r="C774" t="str">
        <f>"ZC11B27387"</f>
        <v>ZC11B27387</v>
      </c>
      <c r="D774" t="str">
        <f>"04/11/2021"</f>
        <v>04/11/2021</v>
      </c>
      <c r="E774" t="str">
        <f>""</f>
        <v/>
      </c>
      <c r="F774" t="str">
        <f>""</f>
        <v/>
      </c>
      <c r="G774" t="str">
        <f>"146.82"</f>
        <v>146.82</v>
      </c>
      <c r="H774" t="str">
        <f>"Consorzio di bonifica Bacchiglione"</f>
        <v>Consorzio di bonifica Bacchiglione</v>
      </c>
      <c r="I774" t="str">
        <f>"92223390284"</f>
        <v>92223390284</v>
      </c>
      <c r="J774" t="str">
        <f>"23-AFFIDAMENTO DIRETTO"</f>
        <v>23-AFFIDAMENTO DIRETTO</v>
      </c>
      <c r="K774" t="str">
        <f>"13/09/2021"</f>
        <v>13/09/2021</v>
      </c>
      <c r="L774" t="str">
        <f>"27/10/2021"</f>
        <v>27/10/2021</v>
      </c>
      <c r="M774" t="str">
        <f>""</f>
        <v/>
      </c>
      <c r="N774" t="str">
        <f>"Bergamaschi Antincendi Antinfortunistica Padova s.r.l. Via G. Galilei 2-I 35030 Caselle di Selvazzano PD | QuattroP Service Srl Viale della Navigazione Interna 35 35129 Padova"</f>
        <v>Bergamaschi Antincendi Antinfortunistica Padova s.r.l. Via G. Galilei 2-I 35030 Caselle di Selvazzano PD | QuattroP Service Srl Viale della Navigazione Interna 35 35129 Padova</v>
      </c>
      <c r="O774" t="str">
        <f>"Bergamaschi Antincendi Antinfortunistica Padova s.r.l. Via G. Galilei 2-I 35030 Caselle di Selvazzano PD"</f>
        <v>Bergamaschi Antincendi Antinfortunistica Padova s.r.l. Via G. Galilei 2-I 35030 Caselle di Selvazzano PD</v>
      </c>
      <c r="P774" t="str">
        <f>"ZC11B27387: [146.82€ ]"</f>
        <v>ZC11B27387: [146.82€ ]</v>
      </c>
      <c r="Q774" t="str">
        <f>""</f>
        <v/>
      </c>
      <c r="R774" t="str">
        <f>""</f>
        <v/>
      </c>
      <c r="S774" t="str">
        <f>""</f>
        <v/>
      </c>
      <c r="T774" t="str">
        <f>"https://portaletrasparenza.consorziobacchiglione.it/dettagli/attodigara/734/fornitura-n-2-estintori-registro-antincendio-foglio-con-etichette-autoadesive-per-idrovora-scolmatore-limenella-fossetta.html"</f>
        <v>https://portaletrasparenza.consorziobacchiglione.it/dettagli/attodigara/734/fornitura-n-2-estintori-registro-antincendio-foglio-con-etichette-autoadesive-per-idrovora-scolmatore-limenella-fossetta.html</v>
      </c>
      <c r="U774" t="str">
        <f>""</f>
        <v/>
      </c>
      <c r="V77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75" spans="1:22" x14ac:dyDescent="0.3">
      <c r="A775" t="str">
        <f>"Affidamento"</f>
        <v>Affidamento</v>
      </c>
      <c r="B775" t="str">
        <f>"Corso di formazione Idr elettrico in Italia per n. 2 dipendenti."</f>
        <v>Corso di formazione Idr elettrico in Italia per n. 2 dipendenti.</v>
      </c>
      <c r="C775" t="str">
        <f>"Z791B275B1"</f>
        <v>Z791B275B1</v>
      </c>
      <c r="D775" t="str">
        <f>"04/11/2021"</f>
        <v>04/11/2021</v>
      </c>
      <c r="E775" t="str">
        <f>""</f>
        <v/>
      </c>
      <c r="F775" t="str">
        <f>""</f>
        <v/>
      </c>
      <c r="G775" t="str">
        <f>"300.00"</f>
        <v>300.00</v>
      </c>
      <c r="H775" t="str">
        <f>"Consorzio di bonifica Bacchiglione"</f>
        <v>Consorzio di bonifica Bacchiglione</v>
      </c>
      <c r="I775" t="str">
        <f>"92223390284"</f>
        <v>92223390284</v>
      </c>
      <c r="J775" t="str">
        <f>"23-AFFIDAMENTO DIRETTO"</f>
        <v>23-AFFIDAMENTO DIRETTO</v>
      </c>
      <c r="K775" t="str">
        <f>"13/09/2021"</f>
        <v>13/09/2021</v>
      </c>
      <c r="L775" t="str">
        <f>"31/12/2021"</f>
        <v>31/12/2021</v>
      </c>
      <c r="M775" t="str">
        <f>""</f>
        <v/>
      </c>
      <c r="N775" t="str">
        <f>"Aviel Unae Veneto presso Università di Padova - Dipartimento di Ingegneria Elettrica Via G. Gradenigo 6A 35131 Padova"</f>
        <v>Aviel Unae Veneto presso Università di Padova - Dipartimento di Ingegneria Elettrica Via G. Gradenigo 6A 35131 Padova</v>
      </c>
      <c r="O775" t="str">
        <f>"Aviel Unae Veneto presso Università di Padova - Dipartimento di Ingegneria Elettrica Via G. Gradenigo 6A 35131 Padova"</f>
        <v>Aviel Unae Veneto presso Università di Padova - Dipartimento di Ingegneria Elettrica Via G. Gradenigo 6A 35131 Padova</v>
      </c>
      <c r="P775" t="str">
        <f>"Z791B275B1: [0.00€ ]"</f>
        <v>Z791B275B1: [0.00€ ]</v>
      </c>
      <c r="Q775" t="str">
        <f>""</f>
        <v/>
      </c>
      <c r="R775" t="str">
        <f>""</f>
        <v/>
      </c>
      <c r="S775" t="str">
        <f>""</f>
        <v/>
      </c>
      <c r="T775" t="str">
        <f>"https://portaletrasparenza.consorziobacchiglione.it/dettagli/attodigara/735/corso-di-formazione-idr-elettrico-in-italia-per-n-2-dipendenti.html"</f>
        <v>https://portaletrasparenza.consorziobacchiglione.it/dettagli/attodigara/735/corso-di-formazione-idr-elettrico-in-italia-per-n-2-dipendenti.html</v>
      </c>
      <c r="U775" t="str">
        <f>""</f>
        <v/>
      </c>
      <c r="V775">
        <f>(SUBSTITUTE(Tabella1[[#This Row],[Importo di aggiudicazione]],".",","))-(SUBSTITUTE(  SUBSTITUTE(          SUBSTITUTE(Tabella1[[#This Row],[Dettaglio somme liquidate]],Tabella1[[#This Row],[CIG]]&amp;": [",""),"€ ]",""),".",","))</f>
        <v>300</v>
      </c>
    </row>
    <row r="776" spans="1:22" x14ac:dyDescent="0.3">
      <c r="A776" t="str">
        <f>"Affidamento"</f>
        <v>Affidamento</v>
      </c>
      <c r="B776" t="str">
        <f>"Messa in sicurezza della passerella presente su sostegno Bottesini mediante la sostituzione del tavolato in legno ammalorato con lamiera bugnata zincata"</f>
        <v>Messa in sicurezza della passerella presente su sostegno Bottesini mediante la sostituzione del tavolato in legno ammalorato con lamiera bugnata zincata</v>
      </c>
      <c r="C776" t="str">
        <f>"Z583302C0A"</f>
        <v>Z583302C0A</v>
      </c>
      <c r="D776" t="str">
        <f>"13/09/2021"</f>
        <v>13/09/2021</v>
      </c>
      <c r="E776" t="str">
        <f>""</f>
        <v/>
      </c>
      <c r="F776" t="str">
        <f>""</f>
        <v/>
      </c>
      <c r="G776" t="str">
        <f>"1500.00"</f>
        <v>1500.00</v>
      </c>
      <c r="H776" t="str">
        <f>"Consorzio di bonifica Bacchiglione"</f>
        <v>Consorzio di bonifica Bacchiglione</v>
      </c>
      <c r="I776" t="str">
        <f>"92223390284"</f>
        <v>92223390284</v>
      </c>
      <c r="J776" t="str">
        <f>"23-AFFIDAMENTO DIRETTO"</f>
        <v>23-AFFIDAMENTO DIRETTO</v>
      </c>
      <c r="K776" t="str">
        <f>"13/09/2021"</f>
        <v>13/09/2021</v>
      </c>
      <c r="L776" t="str">
        <f>"31/12/2021"</f>
        <v>31/12/2021</v>
      </c>
      <c r="M776" t="str">
        <f>""</f>
        <v/>
      </c>
      <c r="N776" t="str">
        <f>"Convento Claudio Via III^ Strada 3 Z.A. 30010 Campolongo Maggiore VE"</f>
        <v>Convento Claudio Via III^ Strada 3 Z.A. 30010 Campolongo Maggiore VE</v>
      </c>
      <c r="O776" t="str">
        <f>"Convento Claudio Via III^ Strada 3 Z.A. 30010 Campolongo Maggiore VE"</f>
        <v>Convento Claudio Via III^ Strada 3 Z.A. 30010 Campolongo Maggiore VE</v>
      </c>
      <c r="P776" t="str">
        <f>"Z583302C0A: [0.00€ ]"</f>
        <v>Z583302C0A: [0.00€ ]</v>
      </c>
      <c r="Q776" t="str">
        <f>""</f>
        <v/>
      </c>
      <c r="R776" t="str">
        <f>""</f>
        <v/>
      </c>
      <c r="S776" t="str">
        <f>""</f>
        <v/>
      </c>
      <c r="T776" t="str">
        <f>"https://portaletrasparenza.consorziobacchiglione.it/dettagli/attodigara/7131/messa-in-sicurezza-della-passerella-presente-su-sostegno-bottesini-mediante-la-sostituzione-del-tavolato-in-legno-ammalorato-con-lamiera-bugnata-zincata.html"</f>
        <v>https://portaletrasparenza.consorziobacchiglione.it/dettagli/attodigara/7131/messa-in-sicurezza-della-passerella-presente-su-sostegno-bottesini-mediante-la-sostituzione-del-tavolato-in-legno-ammalorato-con-lamiera-bugnata-zincata.html</v>
      </c>
      <c r="U776" t="str">
        <f>"https://portaletrasparenza.consorziobacchiglione.it/download/attodigara/7131/62a20a728da6d.PDF"</f>
        <v>https://portaletrasparenza.consorziobacchiglione.it/download/attodigara/7131/62a20a728da6d.PDF</v>
      </c>
      <c r="V776">
        <f>(SUBSTITUTE(Tabella1[[#This Row],[Importo di aggiudicazione]],".",","))-(SUBSTITUTE(  SUBSTITUTE(          SUBSTITUTE(Tabella1[[#This Row],[Dettaglio somme liquidate]],Tabella1[[#This Row],[CIG]]&amp;": [",""),"€ ]",""),".",","))</f>
        <v>1500</v>
      </c>
    </row>
    <row r="777" spans="1:22" x14ac:dyDescent="0.3">
      <c r="A777" t="str">
        <f>"Affidamento"</f>
        <v>Affidamento</v>
      </c>
      <c r="B777" t="str">
        <f>"Inserimento in mappa ed accatastamento di alcuni impianti idrovori - Processo ID 004-21."</f>
        <v>Inserimento in mappa ed accatastamento di alcuni impianti idrovori - Processo ID 004-21.</v>
      </c>
      <c r="C777" t="str">
        <f>"ZAC330525E"</f>
        <v>ZAC330525E</v>
      </c>
      <c r="D777" t="str">
        <f>"14/09/2021"</f>
        <v>14/09/2021</v>
      </c>
      <c r="E777" t="str">
        <f>""</f>
        <v/>
      </c>
      <c r="F777" t="str">
        <f>""</f>
        <v/>
      </c>
      <c r="G777" t="str">
        <f>"17325.00"</f>
        <v>17325.00</v>
      </c>
      <c r="H777" t="str">
        <f>"Consorzio di bonifica Bacchiglione"</f>
        <v>Consorzio di bonifica Bacchiglione</v>
      </c>
      <c r="I777" t="str">
        <f>"92223390284"</f>
        <v>92223390284</v>
      </c>
      <c r="J777" t="str">
        <f>"23-AFFIDAMENTO DIRETTO"</f>
        <v>23-AFFIDAMENTO DIRETTO</v>
      </c>
      <c r="K777" t="str">
        <f>"13/09/2021"</f>
        <v>13/09/2021</v>
      </c>
      <c r="L777" t="str">
        <f>"27/06/2023"</f>
        <v>27/06/2023</v>
      </c>
      <c r="M777" t="str">
        <f>""</f>
        <v/>
      </c>
      <c r="N777" t="str">
        <f>"STUDIO GEOMETRA SIMONE BUSON"</f>
        <v>STUDIO GEOMETRA SIMONE BUSON</v>
      </c>
      <c r="O777" t="str">
        <f>"STUDIO GEOMETRA SIMONE BUSON"</f>
        <v>STUDIO GEOMETRA SIMONE BUSON</v>
      </c>
      <c r="P777" t="str">
        <f>"ZAC330525E: [17325.00€ ]"</f>
        <v>ZAC330525E: [17325.00€ ]</v>
      </c>
      <c r="Q777" t="str">
        <f>""</f>
        <v/>
      </c>
      <c r="R777" t="str">
        <f>""</f>
        <v/>
      </c>
      <c r="S777" t="str">
        <f>""</f>
        <v/>
      </c>
      <c r="T777" t="str">
        <f>"https://portaletrasparenza.consorziobacchiglione.it/dettagli/attodigara/7130/inserimento-in-mappa-ed-accatastamento-di-alcuni-impianti-idrovori-processo-id-004-21.html"</f>
        <v>https://portaletrasparenza.consorziobacchiglione.it/dettagli/attodigara/7130/inserimento-in-mappa-ed-accatastamento-di-alcuni-impianti-idrovori-processo-id-004-21.html</v>
      </c>
      <c r="U777" t="str">
        <f>"https://portaletrasparenza.consorziobacchiglione.it/download/attodigara/7130/62a20a735ecf7.PDF"</f>
        <v>https://portaletrasparenza.consorziobacchiglione.it/download/attodigara/7130/62a20a735ecf7.PDF</v>
      </c>
      <c r="V7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78" spans="1:22" x14ac:dyDescent="0.3">
      <c r="A778" t="str">
        <f>"Affidamento"</f>
        <v>Affidamento</v>
      </c>
      <c r="B778" t="str">
        <f>"Soccorso con imbragatore escavatore 914 con targa: AKA712."</f>
        <v>Soccorso con imbragatore escavatore 914 con targa: AKA712.</v>
      </c>
      <c r="C778" t="str">
        <f>"Z211B90BE9"</f>
        <v>Z211B90BE9</v>
      </c>
      <c r="D778" t="str">
        <f>"04/11/2021"</f>
        <v>04/11/2021</v>
      </c>
      <c r="E778" t="str">
        <f>""</f>
        <v/>
      </c>
      <c r="F778" t="str">
        <f>""</f>
        <v/>
      </c>
      <c r="G778" t="str">
        <f>"600.00"</f>
        <v>600.00</v>
      </c>
      <c r="H778" t="str">
        <f>"Consorzio di bonifica Bacchiglione"</f>
        <v>Consorzio di bonifica Bacchiglione</v>
      </c>
      <c r="I778" t="str">
        <f>"92223390284"</f>
        <v>92223390284</v>
      </c>
      <c r="J778" t="str">
        <f>"23-AFFIDAMENTO DIRETTO"</f>
        <v>23-AFFIDAMENTO DIRETTO</v>
      </c>
      <c r="K778" t="str">
        <f>"13/10/2021"</f>
        <v>13/10/2021</v>
      </c>
      <c r="L778" t="str">
        <f>"05/01/2021"</f>
        <v>05/01/2021</v>
      </c>
      <c r="M778" t="str">
        <f>""</f>
        <v/>
      </c>
      <c r="N778" t="str">
        <f>"Aggio Egidio Via Chiusure 47 35020 Maserà di Padova"</f>
        <v>Aggio Egidio Via Chiusure 47 35020 Maserà di Padova</v>
      </c>
      <c r="O778" t="str">
        <f>"Aggio Egidio Via Chiusure 47 35020 Maserà di Padova"</f>
        <v>Aggio Egidio Via Chiusure 47 35020 Maserà di Padova</v>
      </c>
      <c r="P778" t="str">
        <f>"Z211B90BE9: [600.00€ ]"</f>
        <v>Z211B90BE9: [600.00€ ]</v>
      </c>
      <c r="Q778" t="str">
        <f>""</f>
        <v/>
      </c>
      <c r="R778" t="str">
        <f>""</f>
        <v/>
      </c>
      <c r="S778" t="str">
        <f>""</f>
        <v/>
      </c>
      <c r="T778" t="str">
        <f>"https://portaletrasparenza.consorziobacchiglione.it/dettagli/attodigara/822/soccorso-con-imbragatore-escavatore-914-con-targa-aka712.html"</f>
        <v>https://portaletrasparenza.consorziobacchiglione.it/dettagli/attodigara/822/soccorso-con-imbragatore-escavatore-914-con-targa-aka712.html</v>
      </c>
      <c r="U778" t="str">
        <f>""</f>
        <v/>
      </c>
      <c r="V77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79" spans="1:22" x14ac:dyDescent="0.3">
      <c r="A779" t="str">
        <f>"Affidamento"</f>
        <v>Affidamento</v>
      </c>
      <c r="B779" t="str">
        <f>"Riparazione supporto idroguida timone motobarca n 7 bacino Pratiarcati."</f>
        <v>Riparazione supporto idroguida timone motobarca n 7 bacino Pratiarcati.</v>
      </c>
      <c r="C779" t="str">
        <f>"ZE51B909D5"</f>
        <v>ZE51B909D5</v>
      </c>
      <c r="D779" t="str">
        <f>"04/11/2021"</f>
        <v>04/11/2021</v>
      </c>
      <c r="E779" t="str">
        <f>""</f>
        <v/>
      </c>
      <c r="F779" t="str">
        <f>""</f>
        <v/>
      </c>
      <c r="G779" t="str">
        <f>"390.00"</f>
        <v>390.00</v>
      </c>
      <c r="H779" t="str">
        <f>"Consorzio di bonifica Bacchiglione"</f>
        <v>Consorzio di bonifica Bacchiglione</v>
      </c>
      <c r="I779" t="str">
        <f>"92223390284"</f>
        <v>92223390284</v>
      </c>
      <c r="J779" t="str">
        <f>"23-AFFIDAMENTO DIRETTO"</f>
        <v>23-AFFIDAMENTO DIRETTO</v>
      </c>
      <c r="K779" t="str">
        <f>"13/10/2021"</f>
        <v>13/10/2021</v>
      </c>
      <c r="L779" t="str">
        <f>"15/11/2021"</f>
        <v>15/11/2021</v>
      </c>
      <c r="M779" t="str">
        <f>""</f>
        <v/>
      </c>
      <c r="N779" t="str">
        <f>"ZEMI s.a.s. di Zanotto Enzo di Ruzzante Dorina Via E. Mattei 7 35020 Due Carrare PD"</f>
        <v>ZEMI s.a.s. di Zanotto Enzo di Ruzzante Dorina Via E. Mattei 7 35020 Due Carrare PD</v>
      </c>
      <c r="O779" t="str">
        <f>"ZEMI s.a.s. di Zanotto Enzo di Ruzzante Dorina Via E. Mattei 7 35020 Due Carrare PD"</f>
        <v>ZEMI s.a.s. di Zanotto Enzo di Ruzzante Dorina Via E. Mattei 7 35020 Due Carrare PD</v>
      </c>
      <c r="P779" t="str">
        <f>"ZE51B909D5: [390.00€ ]"</f>
        <v>ZE51B909D5: [390.00€ ]</v>
      </c>
      <c r="Q779" t="str">
        <f>""</f>
        <v/>
      </c>
      <c r="R779" t="str">
        <f>""</f>
        <v/>
      </c>
      <c r="S779" t="str">
        <f>""</f>
        <v/>
      </c>
      <c r="T779" t="str">
        <f>"https://portaletrasparenza.consorziobacchiglione.it/dettagli/attodigara/821/riparazione-supporto-idroguida-timone-motobarca-n-7-bacino-pratiarcati.html"</f>
        <v>https://portaletrasparenza.consorziobacchiglione.it/dettagli/attodigara/821/riparazione-supporto-idroguida-timone-motobarca-n-7-bacino-pratiarcati.html</v>
      </c>
      <c r="U779" t="str">
        <f>""</f>
        <v/>
      </c>
      <c r="V7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80" spans="1:22" x14ac:dyDescent="0.3">
      <c r="A780" t="str">
        <f>"Affidamento"</f>
        <v>Affidamento</v>
      </c>
      <c r="B780" t="str">
        <f>"Fornitura tavole in legno lavorate con maschio e femmina per bacino Pratiarcati."</f>
        <v>Fornitura tavole in legno lavorate con maschio e femmina per bacino Pratiarcati.</v>
      </c>
      <c r="C780" t="str">
        <f>"ZB61B907F3"</f>
        <v>ZB61B907F3</v>
      </c>
      <c r="D780" t="str">
        <f>"04/11/2021"</f>
        <v>04/11/2021</v>
      </c>
      <c r="E780" t="str">
        <f>""</f>
        <v/>
      </c>
      <c r="F780" t="str">
        <f>""</f>
        <v/>
      </c>
      <c r="G780" t="str">
        <f>"2000.00"</f>
        <v>2000.00</v>
      </c>
      <c r="H780" t="str">
        <f>"Consorzio di bonifica Bacchiglione"</f>
        <v>Consorzio di bonifica Bacchiglione</v>
      </c>
      <c r="I780" t="str">
        <f>"92223390284"</f>
        <v>92223390284</v>
      </c>
      <c r="J780" t="str">
        <f>"23-AFFIDAMENTO DIRETTO"</f>
        <v>23-AFFIDAMENTO DIRETTO</v>
      </c>
      <c r="K780" t="str">
        <f>"13/10/2021"</f>
        <v>13/10/2021</v>
      </c>
      <c r="L780" t="str">
        <f>"03/01/2021"</f>
        <v>03/01/2021</v>
      </c>
      <c r="M780" t="str">
        <f>""</f>
        <v/>
      </c>
      <c r="N780" t="str">
        <f>"Falegnameria Ossari s.n.c. Via degli Artigiani, 4 - 35025 Cartura (PD)"</f>
        <v>Falegnameria Ossari s.n.c. Via degli Artigiani, 4 - 35025 Cartura (PD)</v>
      </c>
      <c r="O780" t="str">
        <f>"Falegnameria Ossari s.n.c. Via degli Artigiani, 4 - 35025 Cartura (PD)"</f>
        <v>Falegnameria Ossari s.n.c. Via degli Artigiani, 4 - 35025 Cartura (PD)</v>
      </c>
      <c r="P780" t="str">
        <f>"ZB61B907F3: [2000.00€ ]"</f>
        <v>ZB61B907F3: [2000.00€ ]</v>
      </c>
      <c r="Q780" t="str">
        <f>""</f>
        <v/>
      </c>
      <c r="R780" t="str">
        <f>""</f>
        <v/>
      </c>
      <c r="S780" t="str">
        <f>""</f>
        <v/>
      </c>
      <c r="T780" t="str">
        <f>"https://portaletrasparenza.consorziobacchiglione.it/dettagli/attodigara/820/fornitura-tavole-in-legno-lavorate-con-maschio-e-femmina-per-bacino-pratiarcati.html"</f>
        <v>https://portaletrasparenza.consorziobacchiglione.it/dettagli/attodigara/820/fornitura-tavole-in-legno-lavorate-con-maschio-e-femmina-per-bacino-pratiarcati.html</v>
      </c>
      <c r="U780" t="str">
        <f>""</f>
        <v/>
      </c>
      <c r="V78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81" spans="1:22" x14ac:dyDescent="0.3">
      <c r="A781" t="str">
        <f>"Affidamento"</f>
        <v>Affidamento</v>
      </c>
      <c r="B781" t="str">
        <f>"Fornitura GPL per sito museale C.O.S.Margherita."</f>
        <v>Fornitura GPL per sito museale C.O.S.Margherita.</v>
      </c>
      <c r="C781" t="str">
        <f>"Z461B90E0A"</f>
        <v>Z461B90E0A</v>
      </c>
      <c r="D781" t="str">
        <f>"04/11/2021"</f>
        <v>04/11/2021</v>
      </c>
      <c r="E781" t="str">
        <f>""</f>
        <v/>
      </c>
      <c r="F781" t="str">
        <f>""</f>
        <v/>
      </c>
      <c r="G781" t="str">
        <f>"2000.00"</f>
        <v>2000.00</v>
      </c>
      <c r="H781" t="str">
        <f>"Consorzio di bonifica Bacchiglione"</f>
        <v>Consorzio di bonifica Bacchiglione</v>
      </c>
      <c r="I781" t="str">
        <f>"92223390284"</f>
        <v>92223390284</v>
      </c>
      <c r="J781" t="str">
        <f>"23-AFFIDAMENTO DIRETTO"</f>
        <v>23-AFFIDAMENTO DIRETTO</v>
      </c>
      <c r="K781" t="str">
        <f>"13/10/2021"</f>
        <v>13/10/2021</v>
      </c>
      <c r="L781" t="str">
        <f>"15/11/2021"</f>
        <v>15/11/2021</v>
      </c>
      <c r="M781" t="str">
        <f>""</f>
        <v/>
      </c>
      <c r="N781" t="str">
        <f>"Loro F.lli S.p.A. Via Circonvallazione 95 36045 Lonigo VI"</f>
        <v>Loro F.lli S.p.A. Via Circonvallazione 95 36045 Lonigo VI</v>
      </c>
      <c r="O781" t="str">
        <f>"Loro F.lli S.p.A. Via Circonvallazione 95 36045 Lonigo VI"</f>
        <v>Loro F.lli S.p.A. Via Circonvallazione 95 36045 Lonigo VI</v>
      </c>
      <c r="P781" t="str">
        <f>"Z461B90E0A: [1659.39€ ]"</f>
        <v>Z461B90E0A: [1659.39€ ]</v>
      </c>
      <c r="Q781" t="str">
        <f>""</f>
        <v/>
      </c>
      <c r="R781" t="str">
        <f>""</f>
        <v/>
      </c>
      <c r="S781" t="str">
        <f>""</f>
        <v/>
      </c>
      <c r="T781" t="str">
        <f>"https://portaletrasparenza.consorziobacchiglione.it/dettagli/attodigara/823/fornitura-gpl-per-sito-museale-c-o-s-margherita.html"</f>
        <v>https://portaletrasparenza.consorziobacchiglione.it/dettagli/attodigara/823/fornitura-gpl-per-sito-museale-c-o-s-margherita.html</v>
      </c>
      <c r="U781" t="str">
        <f>""</f>
        <v/>
      </c>
      <c r="V781">
        <f>(SUBSTITUTE(Tabella1[[#This Row],[Importo di aggiudicazione]],".",","))-(SUBSTITUTE(  SUBSTITUTE(          SUBSTITUTE(Tabella1[[#This Row],[Dettaglio somme liquidate]],Tabella1[[#This Row],[CIG]]&amp;": [",""),"€ ]",""),".",","))</f>
        <v>340.6099999999999</v>
      </c>
    </row>
    <row r="782" spans="1:22" x14ac:dyDescent="0.3">
      <c r="A782" t="str">
        <f>"Affidamento"</f>
        <v>Affidamento</v>
      </c>
      <c r="B782" t="str">
        <f>"Fornitura ed installazione di una griglia fermarosta a monte della tombinatura di Via Magenta in comune di Ponte S.Nicolò, sistemazione montaggio cancelli e fornitura staffe per sensori in acciaio inox presso Impianto Ir"</f>
        <v>Fornitura ed installazione di una griglia fermarosta a monte della tombinatura di Via Magenta in comune di Ponte S.Nicolò, sistemazione montaggio cancelli e fornitura staffe per sensori in acciaio inox presso Impianto Ir</v>
      </c>
      <c r="C782" t="str">
        <f>"Z013376F17"</f>
        <v>Z013376F17</v>
      </c>
      <c r="D782" t="str">
        <f>"19/10/2021"</f>
        <v>19/10/2021</v>
      </c>
      <c r="E782" t="str">
        <f>""</f>
        <v/>
      </c>
      <c r="F782" t="str">
        <f>""</f>
        <v/>
      </c>
      <c r="G782" t="str">
        <f>"2600.00"</f>
        <v>2600.00</v>
      </c>
      <c r="H782" t="str">
        <f>"Consorzio di bonifica Bacchiglione"</f>
        <v>Consorzio di bonifica Bacchiglione</v>
      </c>
      <c r="I782" t="str">
        <f>"92223390284"</f>
        <v>92223390284</v>
      </c>
      <c r="J782" t="str">
        <f>"23-AFFIDAMENTO DIRETTO"</f>
        <v>23-AFFIDAMENTO DIRETTO</v>
      </c>
      <c r="K782" t="str">
        <f>"13/10/2021"</f>
        <v>13/10/2021</v>
      </c>
      <c r="L782" t="str">
        <f>"22/11/2021"</f>
        <v>22/11/2021</v>
      </c>
      <c r="M782" t="str">
        <f>""</f>
        <v/>
      </c>
      <c r="N782" t="str">
        <f>"Convento Claudio Via III^ Strada 3 Z.A. 30010 Campolongo Maggiore VE"</f>
        <v>Convento Claudio Via III^ Strada 3 Z.A. 30010 Campolongo Maggiore VE</v>
      </c>
      <c r="O782" t="str">
        <f>"Convento Claudio Via III^ Strada 3 Z.A. 30010 Campolongo Maggiore VE"</f>
        <v>Convento Claudio Via III^ Strada 3 Z.A. 30010 Campolongo Maggiore VE</v>
      </c>
      <c r="P782" t="str">
        <f>"Z013376F17: [2600.00€ ]"</f>
        <v>Z013376F17: [2600.00€ ]</v>
      </c>
      <c r="Q782" t="str">
        <f>""</f>
        <v/>
      </c>
      <c r="R782" t="str">
        <f>""</f>
        <v/>
      </c>
      <c r="S782" t="str">
        <f>""</f>
        <v/>
      </c>
      <c r="T782" t="s">
        <v>78</v>
      </c>
      <c r="U782" t="str">
        <f>"https://portaletrasparenza.consorziobacchiglione.it/download/attodigara/7213/63ac45da95ee5.PDF"</f>
        <v>https://portaletrasparenza.consorziobacchiglione.it/download/attodigara/7213/63ac45da95ee5.PDF</v>
      </c>
      <c r="V7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83" spans="1:22" x14ac:dyDescent="0.3">
      <c r="A783" t="str">
        <f>"Affidamento"</f>
        <v>Affidamento</v>
      </c>
      <c r="B783" t="str">
        <f>"Sostituzione organi di manovra e asta filettata delle paratoie su chiavica di origine Villamora e chiavica scarico Malgaro Diramazione."</f>
        <v>Sostituzione organi di manovra e asta filettata delle paratoie su chiavica di origine Villamora e chiavica scarico Malgaro Diramazione.</v>
      </c>
      <c r="C783" t="str">
        <f>"Z3933703A0"</f>
        <v>Z3933703A0</v>
      </c>
      <c r="D783" t="str">
        <f>"19/10/2021"</f>
        <v>19/10/2021</v>
      </c>
      <c r="E783" t="str">
        <f>""</f>
        <v/>
      </c>
      <c r="F783" t="str">
        <f>""</f>
        <v/>
      </c>
      <c r="G783" t="str">
        <f>"2400.00"</f>
        <v>2400.00</v>
      </c>
      <c r="H783" t="str">
        <f>"Consorzio di bonifica Bacchiglione"</f>
        <v>Consorzio di bonifica Bacchiglione</v>
      </c>
      <c r="I783" t="str">
        <f>"92223390284"</f>
        <v>92223390284</v>
      </c>
      <c r="J783" t="str">
        <f>"23-AFFIDAMENTO DIRETTO"</f>
        <v>23-AFFIDAMENTO DIRETTO</v>
      </c>
      <c r="K783" t="str">
        <f>"13/10/2021"</f>
        <v>13/10/2021</v>
      </c>
      <c r="L783" t="str">
        <f>"22/11/2021"</f>
        <v>22/11/2021</v>
      </c>
      <c r="M783" t="str">
        <f>""</f>
        <v/>
      </c>
      <c r="N783" t="str">
        <f>"Convento Claudio Via III^ Strada 3 Z.A. 30010 Campolongo Maggiore VE"</f>
        <v>Convento Claudio Via III^ Strada 3 Z.A. 30010 Campolongo Maggiore VE</v>
      </c>
      <c r="O783" t="str">
        <f>"Convento Claudio Via III^ Strada 3 Z.A. 30010 Campolongo Maggiore VE"</f>
        <v>Convento Claudio Via III^ Strada 3 Z.A. 30010 Campolongo Maggiore VE</v>
      </c>
      <c r="P783" t="str">
        <f>"Z3933703A0: [2400.00€ ]"</f>
        <v>Z3933703A0: [2400.00€ ]</v>
      </c>
      <c r="Q783" t="str">
        <f>""</f>
        <v/>
      </c>
      <c r="R783" t="str">
        <f>""</f>
        <v/>
      </c>
      <c r="S783" t="str">
        <f>""</f>
        <v/>
      </c>
      <c r="T783" t="str">
        <f>"https://portaletrasparenza.consorziobacchiglione.it/dettagli/attodigara/7212/sostituzione-organi-di-manovra-e-asta-filettata-delle-paratoie-su-chiavica-di-origine-villamora-e-chiavica-scarico-malgaro-diramazione.html"</f>
        <v>https://portaletrasparenza.consorziobacchiglione.it/dettagli/attodigara/7212/sostituzione-organi-di-manovra-e-asta-filettata-delle-paratoie-su-chiavica-di-origine-villamora-e-chiavica-scarico-malgaro-diramazione.html</v>
      </c>
      <c r="U783" t="str">
        <f>"https://portaletrasparenza.consorziobacchiglione.it/download/attodigara/7212/63ac45da5c2be.PDF"</f>
        <v>https://portaletrasparenza.consorziobacchiglione.it/download/attodigara/7212/63ac45da5c2be.PDF</v>
      </c>
      <c r="V78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84" spans="1:22" x14ac:dyDescent="0.3">
      <c r="A784" t="str">
        <f>"Affidamento"</f>
        <v>Affidamento</v>
      </c>
      <c r="B784" t="str">
        <f>"Fornitura ricambi per motosega Sthil C.O.Bovolenta e C.O.Margherita."</f>
        <v>Fornitura ricambi per motosega Sthil C.O.Bovolenta e C.O.Margherita.</v>
      </c>
      <c r="C784" t="str">
        <f>"Z041C7B81D"</f>
        <v>Z041C7B81D</v>
      </c>
      <c r="D784" t="str">
        <f>"04/11/2021"</f>
        <v>04/11/2021</v>
      </c>
      <c r="E784" t="str">
        <f>""</f>
        <v/>
      </c>
      <c r="F784" t="str">
        <f>""</f>
        <v/>
      </c>
      <c r="G784" t="str">
        <f>"614.75"</f>
        <v>614.75</v>
      </c>
      <c r="H784" t="str">
        <f>"Consorzio di bonifica Bacchiglione"</f>
        <v>Consorzio di bonifica Bacchiglione</v>
      </c>
      <c r="I784" t="str">
        <f>"92223390284"</f>
        <v>92223390284</v>
      </c>
      <c r="J784" t="str">
        <f>"23-AFFIDAMENTO DIRETTO"</f>
        <v>23-AFFIDAMENTO DIRETTO</v>
      </c>
      <c r="K784" t="str">
        <f>"13/12/2021"</f>
        <v>13/12/2021</v>
      </c>
      <c r="L784" t="str">
        <f>"28/12/2021"</f>
        <v>28/12/2021</v>
      </c>
      <c r="M784" t="str">
        <f>""</f>
        <v/>
      </c>
      <c r="N784" t="str">
        <f>"Mini Motor di Vettorato Gabriele Via Puccini 3 35020 Brugine PD"</f>
        <v>Mini Motor di Vettorato Gabriele Via Puccini 3 35020 Brugine PD</v>
      </c>
      <c r="O784" t="str">
        <f>"Mini Motor di Vettorato Gabriele Via Puccini 3 35020 Brugine PD"</f>
        <v>Mini Motor di Vettorato Gabriele Via Puccini 3 35020 Brugine PD</v>
      </c>
      <c r="P784" t="str">
        <f>"Z041C7B81D: [614.75€ ]"</f>
        <v>Z041C7B81D: [614.75€ ]</v>
      </c>
      <c r="Q784" t="str">
        <f>""</f>
        <v/>
      </c>
      <c r="R784" t="str">
        <f>""</f>
        <v/>
      </c>
      <c r="S784" t="str">
        <f>""</f>
        <v/>
      </c>
      <c r="T784" t="str">
        <f>"https://portaletrasparenza.consorziobacchiglione.it/dettagli/attodigara/991/fornitura-ricambi-per-motosega-sthil-c-o-bovolenta-e-c-o-margherita.html"</f>
        <v>https://portaletrasparenza.consorziobacchiglione.it/dettagli/attodigara/991/fornitura-ricambi-per-motosega-sthil-c-o-bovolenta-e-c-o-margherita.html</v>
      </c>
      <c r="U784" t="str">
        <f>""</f>
        <v/>
      </c>
      <c r="V7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85" spans="1:22" x14ac:dyDescent="0.3">
      <c r="A785" t="str">
        <f>"Affidamento"</f>
        <v>Affidamento</v>
      </c>
      <c r="B785" t="str">
        <f>"Smaltimento fermarosta con stendimento previa raccolta materiale vario su scoli Consorziali."</f>
        <v>Smaltimento fermarosta con stendimento previa raccolta materiale vario su scoli Consorziali.</v>
      </c>
      <c r="C785" t="str">
        <f>"Z3D1C7B5D4"</f>
        <v>Z3D1C7B5D4</v>
      </c>
      <c r="D785" t="str">
        <f>"04/11/2021"</f>
        <v>04/11/2021</v>
      </c>
      <c r="E785" t="str">
        <f>""</f>
        <v/>
      </c>
      <c r="F785" t="str">
        <f>""</f>
        <v/>
      </c>
      <c r="G785" t="str">
        <f>"12180.00"</f>
        <v>12180.00</v>
      </c>
      <c r="H785" t="str">
        <f>"Consorzio di bonifica Bacchiglione"</f>
        <v>Consorzio di bonifica Bacchiglione</v>
      </c>
      <c r="I785" t="str">
        <f>"92223390284"</f>
        <v>92223390284</v>
      </c>
      <c r="J785" t="str">
        <f>"23-AFFIDAMENTO DIRETTO"</f>
        <v>23-AFFIDAMENTO DIRETTO</v>
      </c>
      <c r="K785" t="str">
        <f>"13/12/2021"</f>
        <v>13/12/2021</v>
      </c>
      <c r="L785" t="str">
        <f>"03/01/2021"</f>
        <v>03/01/2021</v>
      </c>
      <c r="M785" t="str">
        <f>""</f>
        <v/>
      </c>
      <c r="N785" t="str">
        <f>"Viale Valter Via 1° Maggio 124 30010 Campagna Lupia VE"</f>
        <v>Viale Valter Via 1° Maggio 124 30010 Campagna Lupia VE</v>
      </c>
      <c r="O785" t="str">
        <f>"Viale Valter Via 1° Maggio 124 30010 Campagna Lupia VE"</f>
        <v>Viale Valter Via 1° Maggio 124 30010 Campagna Lupia VE</v>
      </c>
      <c r="P785" t="str">
        <f>"Z3D1C7B5D4: [12180.00€ ]"</f>
        <v>Z3D1C7B5D4: [12180.00€ ]</v>
      </c>
      <c r="Q785" t="str">
        <f>""</f>
        <v/>
      </c>
      <c r="R785" t="str">
        <f>""</f>
        <v/>
      </c>
      <c r="S785" t="str">
        <f>""</f>
        <v/>
      </c>
      <c r="T785" t="str">
        <f>"https://portaletrasparenza.consorziobacchiglione.it/dettagli/attodigara/990/smaltimento-fermarosta-con-stendimento-previa-raccolta-materiale-vario-su-scoli-consorziali.html"</f>
        <v>https://portaletrasparenza.consorziobacchiglione.it/dettagli/attodigara/990/smaltimento-fermarosta-con-stendimento-previa-raccolta-materiale-vario-su-scoli-consorziali.html</v>
      </c>
      <c r="U785" t="str">
        <f>""</f>
        <v/>
      </c>
      <c r="V7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86" spans="1:22" x14ac:dyDescent="0.3">
      <c r="A786" t="str">
        <f>"Affidamento"</f>
        <v>Affidamento</v>
      </c>
      <c r="B786" t="str">
        <f>"Smaltimento fermarosta con stendimento previa raccolta materiale vario su scoli Consorziali."</f>
        <v>Smaltimento fermarosta con stendimento previa raccolta materiale vario su scoli Consorziali.</v>
      </c>
      <c r="C786" t="str">
        <f>"ZC31C7B4B0"</f>
        <v>ZC31C7B4B0</v>
      </c>
      <c r="D786" t="str">
        <f>"04/11/2021"</f>
        <v>04/11/2021</v>
      </c>
      <c r="E786" t="str">
        <f>""</f>
        <v/>
      </c>
      <c r="F786" t="str">
        <f>""</f>
        <v/>
      </c>
      <c r="G786" t="str">
        <f>"4620.00"</f>
        <v>4620.00</v>
      </c>
      <c r="H786" t="str">
        <f>"Consorzio di bonifica Bacchiglione"</f>
        <v>Consorzio di bonifica Bacchiglione</v>
      </c>
      <c r="I786" t="str">
        <f>"92223390284"</f>
        <v>92223390284</v>
      </c>
      <c r="J786" t="str">
        <f>"23-AFFIDAMENTO DIRETTO"</f>
        <v>23-AFFIDAMENTO DIRETTO</v>
      </c>
      <c r="K786" t="str">
        <f>"13/12/2021"</f>
        <v>13/12/2021</v>
      </c>
      <c r="L786" t="str">
        <f>"03/01/2021"</f>
        <v>03/01/2021</v>
      </c>
      <c r="M786" t="str">
        <f>""</f>
        <v/>
      </c>
      <c r="N786" t="str">
        <f>"Viale Valter Via 1° Maggio 124 30010 Campagna Lupia VE"</f>
        <v>Viale Valter Via 1° Maggio 124 30010 Campagna Lupia VE</v>
      </c>
      <c r="O786" t="str">
        <f>"Viale Valter Via 1° Maggio 124 30010 Campagna Lupia VE"</f>
        <v>Viale Valter Via 1° Maggio 124 30010 Campagna Lupia VE</v>
      </c>
      <c r="P786" t="str">
        <f>"ZC31C7B4B0: [4620.00€ ]"</f>
        <v>ZC31C7B4B0: [4620.00€ ]</v>
      </c>
      <c r="Q786" t="str">
        <f>""</f>
        <v/>
      </c>
      <c r="R786" t="str">
        <f>""</f>
        <v/>
      </c>
      <c r="S786" t="str">
        <f>""</f>
        <v/>
      </c>
      <c r="T786" t="str">
        <f>"https://portaletrasparenza.consorziobacchiglione.it/dettagli/attodigara/989/smaltimento-fermarosta-con-stendimento-previa-raccolta-materiale-vario-su-scoli-consorziali.html"</f>
        <v>https://portaletrasparenza.consorziobacchiglione.it/dettagli/attodigara/989/smaltimento-fermarosta-con-stendimento-previa-raccolta-materiale-vario-su-scoli-consorziali.html</v>
      </c>
      <c r="U786" t="str">
        <f>""</f>
        <v/>
      </c>
      <c r="V78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87" spans="1:22" x14ac:dyDescent="0.3">
      <c r="A787" t="str">
        <f>"Affidamento"</f>
        <v>Affidamento</v>
      </c>
      <c r="B787" t="str">
        <f>"Noleggio escavatore cingolato Hitachi ZX135US-5 scolo Albignasego"</f>
        <v>Noleggio escavatore cingolato Hitachi ZX135US-5 scolo Albignasego</v>
      </c>
      <c r="C787" t="str">
        <f>"Z011C78C2A"</f>
        <v>Z011C78C2A</v>
      </c>
      <c r="D787" t="str">
        <f>"04/11/2021"</f>
        <v>04/11/2021</v>
      </c>
      <c r="E787" t="str">
        <f>""</f>
        <v/>
      </c>
      <c r="F787" t="str">
        <f>""</f>
        <v/>
      </c>
      <c r="G787" t="str">
        <f>"5440.00"</f>
        <v>5440.00</v>
      </c>
      <c r="H787" t="str">
        <f>"Consorzio di bonifica Bacchiglione"</f>
        <v>Consorzio di bonifica Bacchiglione</v>
      </c>
      <c r="I787" t="str">
        <f>"92223390284"</f>
        <v>92223390284</v>
      </c>
      <c r="J787" t="str">
        <f>"23-AFFIDAMENTO DIRETTO"</f>
        <v>23-AFFIDAMENTO DIRETTO</v>
      </c>
      <c r="K787" t="str">
        <f>"13/12/2021"</f>
        <v>13/12/2021</v>
      </c>
      <c r="L787" t="str">
        <f>"27/12/2021"</f>
        <v>27/12/2021</v>
      </c>
      <c r="M787" t="str">
        <f>""</f>
        <v/>
      </c>
      <c r="N787" t="str">
        <f>"Sorme s.n.c. Via Monache 21 35030 Selvazzano Dentro PD"</f>
        <v>Sorme s.n.c. Via Monache 21 35030 Selvazzano Dentro PD</v>
      </c>
      <c r="O787" t="str">
        <f>"Sorme s.n.c. Via Monache 21 35030 Selvazzano Dentro PD"</f>
        <v>Sorme s.n.c. Via Monache 21 35030 Selvazzano Dentro PD</v>
      </c>
      <c r="P787" t="str">
        <f>"Z011C78C2A: [5440.00€ ]"</f>
        <v>Z011C78C2A: [5440.00€ ]</v>
      </c>
      <c r="Q787" t="str">
        <f>""</f>
        <v/>
      </c>
      <c r="R787" t="str">
        <f>""</f>
        <v/>
      </c>
      <c r="S787" t="str">
        <f>""</f>
        <v/>
      </c>
      <c r="T787" t="str">
        <f>"https://portaletrasparenza.consorziobacchiglione.it/dettagli/attodigara/988/noleggio-escavatore-cingolato-hitachi-zx135us-5-scolo-albignasego.html"</f>
        <v>https://portaletrasparenza.consorziobacchiglione.it/dettagli/attodigara/988/noleggio-escavatore-cingolato-hitachi-zx135us-5-scolo-albignasego.html</v>
      </c>
      <c r="U787" t="str">
        <f>""</f>
        <v/>
      </c>
      <c r="V7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88" spans="1:22" x14ac:dyDescent="0.3">
      <c r="A788" t="str">
        <f>"Affidamento"</f>
        <v>Affidamento</v>
      </c>
      <c r="B788" t="str">
        <f>"Incontro di formazione e informazione di fine anno con tutto il personale dipendente del Consorzio."</f>
        <v>Incontro di formazione e informazione di fine anno con tutto il personale dipendente del Consorzio.</v>
      </c>
      <c r="C788" t="str">
        <f>"Z9B1CC089F"</f>
        <v>Z9B1CC089F</v>
      </c>
      <c r="D788" t="str">
        <f>"04/11/2021"</f>
        <v>04/11/2021</v>
      </c>
      <c r="E788" t="str">
        <f>""</f>
        <v/>
      </c>
      <c r="F788" t="str">
        <f>""</f>
        <v/>
      </c>
      <c r="G788" t="str">
        <f>"2600.00"</f>
        <v>2600.00</v>
      </c>
      <c r="H788" t="str">
        <f>"Consorzio di bonifica Bacchiglione"</f>
        <v>Consorzio di bonifica Bacchiglione</v>
      </c>
      <c r="I788" t="str">
        <f>"92223390284"</f>
        <v>92223390284</v>
      </c>
      <c r="J788" t="str">
        <f>"23-AFFIDAMENTO DIRETTO"</f>
        <v>23-AFFIDAMENTO DIRETTO</v>
      </c>
      <c r="K788" t="str">
        <f>"13/12/2021"</f>
        <v>13/12/2021</v>
      </c>
      <c r="L788" t="str">
        <f>"15/12/2021"</f>
        <v>15/12/2021</v>
      </c>
      <c r="M788" t="str">
        <f>""</f>
        <v/>
      </c>
      <c r="N788" t="str">
        <f>"RIESCO Società Cooperativa Sociale"</f>
        <v>RIESCO Società Cooperativa Sociale</v>
      </c>
      <c r="O788" t="str">
        <f>"RIESCO Società Cooperativa Sociale"</f>
        <v>RIESCO Società Cooperativa Sociale</v>
      </c>
      <c r="P788" t="str">
        <f>"Z9B1CC089F: [2300.00€ ]"</f>
        <v>Z9B1CC089F: [2300.00€ ]</v>
      </c>
      <c r="Q788" t="str">
        <f>""</f>
        <v/>
      </c>
      <c r="R788" t="str">
        <f>""</f>
        <v/>
      </c>
      <c r="S788" t="str">
        <f>""</f>
        <v/>
      </c>
      <c r="T788" t="str">
        <f>"https://portaletrasparenza.consorziobacchiglione.it/dettagli/attodigara/27/incontro-di-formazione-e-informazione-di-fine-anno-con-tutto-il-personale-dipendente-del-consorzio.html"</f>
        <v>https://portaletrasparenza.consorziobacchiglione.it/dettagli/attodigara/27/incontro-di-formazione-e-informazione-di-fine-anno-con-tutto-il-personale-dipendente-del-consorzio.html</v>
      </c>
      <c r="U788" t="str">
        <f>""</f>
        <v/>
      </c>
      <c r="V788">
        <f>(SUBSTITUTE(Tabella1[[#This Row],[Importo di aggiudicazione]],".",","))-(SUBSTITUTE(  SUBSTITUTE(          SUBSTITUTE(Tabella1[[#This Row],[Dettaglio somme liquidate]],Tabella1[[#This Row],[CIG]]&amp;": [",""),"€ ]",""),".",","))</f>
        <v>300</v>
      </c>
    </row>
    <row r="789" spans="1:22" x14ac:dyDescent="0.3">
      <c r="A789" t="str">
        <f>"Affidamento"</f>
        <v>Affidamento</v>
      </c>
      <c r="B789" t="str">
        <f>"Tagliando completo e sostituzione devio luci più maniglia interna SX e DX del mezzo targato: CB933XY"</f>
        <v>Tagliando completo e sostituzione devio luci più maniglia interna SX e DX del mezzo targato: CB933XY</v>
      </c>
      <c r="C789" t="str">
        <f>"Z4C345F2B1"</f>
        <v>Z4C345F2B1</v>
      </c>
      <c r="D789" t="str">
        <f>"14/12/2021"</f>
        <v>14/12/2021</v>
      </c>
      <c r="E789" t="str">
        <f>""</f>
        <v/>
      </c>
      <c r="F789" t="str">
        <f>""</f>
        <v/>
      </c>
      <c r="G789" t="str">
        <f>"628.72"</f>
        <v>628.72</v>
      </c>
      <c r="H789" t="str">
        <f>"Consorzio di bonifica Bacchiglione"</f>
        <v>Consorzio di bonifica Bacchiglione</v>
      </c>
      <c r="I789" t="str">
        <f>"92223390284"</f>
        <v>92223390284</v>
      </c>
      <c r="J789" t="str">
        <f>"23-AFFIDAMENTO DIRETTO"</f>
        <v>23-AFFIDAMENTO DIRETTO</v>
      </c>
      <c r="K789" t="str">
        <f>"13/12/2021"</f>
        <v>13/12/2021</v>
      </c>
      <c r="L789" t="str">
        <f>"20/12/2021"</f>
        <v>20/12/2021</v>
      </c>
      <c r="M789" t="str">
        <f>""</f>
        <v/>
      </c>
      <c r="N789" t="str">
        <f>"Elettrodiesel Peruzzo s.r.l. Via Tevere 30 35135 Padova"</f>
        <v>Elettrodiesel Peruzzo s.r.l. Via Tevere 30 35135 Padova</v>
      </c>
      <c r="O789" t="str">
        <f>"Elettrodiesel Peruzzo s.r.l. Via Tevere 30 35135 Padova"</f>
        <v>Elettrodiesel Peruzzo s.r.l. Via Tevere 30 35135 Padova</v>
      </c>
      <c r="P789" t="s">
        <v>256</v>
      </c>
      <c r="Q789" t="str">
        <f>""</f>
        <v/>
      </c>
      <c r="R789" t="str">
        <f>""</f>
        <v/>
      </c>
      <c r="S789" t="str">
        <f>""</f>
        <v/>
      </c>
      <c r="T789" t="str">
        <f>"https://portaletrasparenza.consorziobacchiglione.it/dettagli/attodigara/7348/tagliando-completo-e-sostituzione-devio-luci-piu-maniglia-interna-sx-e-dx-del-mezzo-targato-cb933xy.html"</f>
        <v>https://portaletrasparenza.consorziobacchiglione.it/dettagli/attodigara/7348/tagliando-completo-e-sostituzione-devio-luci-piu-maniglia-interna-sx-e-dx-del-mezzo-targato-cb933xy.html</v>
      </c>
      <c r="U789" t="str">
        <f>"https://portaletrasparenza.consorziobacchiglione.it/download/attodigara/7348/63ac45f93dba5.PDF"</f>
        <v>https://portaletrasparenza.consorziobacchiglione.it/download/attodigara/7348/63ac45f93dba5.PDF</v>
      </c>
      <c r="V7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90" spans="1:22" x14ac:dyDescent="0.3">
      <c r="A790" t="str">
        <f>"Affidamento"</f>
        <v>Affidamento</v>
      </c>
      <c r="B790" t="str">
        <f>"Noleggio Dumper cingolato Takeuchi TCR50 per lavori presso scolo Cavaizza di Lova"</f>
        <v>Noleggio Dumper cingolato Takeuchi TCR50 per lavori presso scolo Cavaizza di Lova</v>
      </c>
      <c r="C790" t="str">
        <f>"Z52345EC77"</f>
        <v>Z52345EC77</v>
      </c>
      <c r="D790" t="str">
        <f>"16/12/2021"</f>
        <v>16/12/2021</v>
      </c>
      <c r="E790" t="str">
        <f>""</f>
        <v/>
      </c>
      <c r="F790" t="str">
        <f>""</f>
        <v/>
      </c>
      <c r="G790" t="str">
        <f>"4500.00"</f>
        <v>4500.00</v>
      </c>
      <c r="H790" t="str">
        <f>"Consorzio di bonifica Bacchiglione"</f>
        <v>Consorzio di bonifica Bacchiglione</v>
      </c>
      <c r="I790" t="str">
        <f>"92223390284"</f>
        <v>92223390284</v>
      </c>
      <c r="J790" t="str">
        <f>"23-AFFIDAMENTO DIRETTO"</f>
        <v>23-AFFIDAMENTO DIRETTO</v>
      </c>
      <c r="K790" t="str">
        <f>"13/12/2021"</f>
        <v>13/12/2021</v>
      </c>
      <c r="L790" t="str">
        <f>"20/12/2021"</f>
        <v>20/12/2021</v>
      </c>
      <c r="M790" t="str">
        <f>""</f>
        <v/>
      </c>
      <c r="N790" t="str">
        <f>"Sorme s.n.c. Via Monache 21 35030 Selvazzano Dentro PD"</f>
        <v>Sorme s.n.c. Via Monache 21 35030 Selvazzano Dentro PD</v>
      </c>
      <c r="O790" t="str">
        <f>"Sorme s.n.c. Via Monache 21 35030 Selvazzano Dentro PD"</f>
        <v>Sorme s.n.c. Via Monache 21 35030 Selvazzano Dentro PD</v>
      </c>
      <c r="P790" t="s">
        <v>192</v>
      </c>
      <c r="Q790" t="str">
        <f>""</f>
        <v/>
      </c>
      <c r="R790" t="str">
        <f>""</f>
        <v/>
      </c>
      <c r="S790" t="str">
        <f>""</f>
        <v/>
      </c>
      <c r="T790" t="str">
        <f>"https://portaletrasparenza.consorziobacchiglione.it/dettagli/attodigara/7347/noleggio-dumper-cingolato-takeuchi-tcr50-per-lavori-presso-scolo-cavaizza-di-lova.html"</f>
        <v>https://portaletrasparenza.consorziobacchiglione.it/dettagli/attodigara/7347/noleggio-dumper-cingolato-takeuchi-tcr50-per-lavori-presso-scolo-cavaizza-di-lova.html</v>
      </c>
      <c r="U790" t="str">
        <f>"https://portaletrasparenza.consorziobacchiglione.it/download/attodigara/7347/63ac45f9b0e0b.PDF"</f>
        <v>https://portaletrasparenza.consorziobacchiglione.it/download/attodigara/7347/63ac45f9b0e0b.PDF</v>
      </c>
      <c r="V7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91" spans="1:22" x14ac:dyDescent="0.3">
      <c r="A791" t="str">
        <f>"Affidamento"</f>
        <v>Affidamento</v>
      </c>
      <c r="B791" t="str">
        <f>"Progettazione opere strutturali. - Processo ID 004-15."</f>
        <v>Progettazione opere strutturali. - Processo ID 004-15.</v>
      </c>
      <c r="C791" t="str">
        <f>"Z041802CF5"</f>
        <v>Z041802CF5</v>
      </c>
      <c r="D791" t="str">
        <f>"04/11/2021"</f>
        <v>04/11/2021</v>
      </c>
      <c r="E791" t="str">
        <f>""</f>
        <v/>
      </c>
      <c r="F791" t="str">
        <f>""</f>
        <v/>
      </c>
      <c r="G791" t="str">
        <f>"1456.00"</f>
        <v>1456.00</v>
      </c>
      <c r="H791" t="str">
        <f>"Consorzio di bonifica Bacchiglione"</f>
        <v>Consorzio di bonifica Bacchiglione</v>
      </c>
      <c r="I791" t="str">
        <f>"92223390284"</f>
        <v>92223390284</v>
      </c>
      <c r="J791" t="str">
        <f>"23-AFFIDAMENTO DIRETTO"</f>
        <v>23-AFFIDAMENTO DIRETTO</v>
      </c>
      <c r="K791" t="str">
        <f>"14/01/2021"</f>
        <v>14/01/2021</v>
      </c>
      <c r="L791" t="str">
        <f>"17/03/2021"</f>
        <v>17/03/2021</v>
      </c>
      <c r="M791" t="str">
        <f>""</f>
        <v/>
      </c>
      <c r="N791" t="str">
        <f>"SIST - Studio di Ingegneria Strutturale Organte E Bortot"</f>
        <v>SIST - Studio di Ingegneria Strutturale Organte E Bortot</v>
      </c>
      <c r="O791" t="str">
        <f>"SIST - Studio di Ingegneria Strutturale Organte E Bortot"</f>
        <v>SIST - Studio di Ingegneria Strutturale Organte E Bortot</v>
      </c>
      <c r="P791" t="str">
        <f>"Z041802CF5: [1456.00€ ]"</f>
        <v>Z041802CF5: [1456.00€ ]</v>
      </c>
      <c r="Q791" t="str">
        <f>""</f>
        <v/>
      </c>
      <c r="R791" t="str">
        <f>""</f>
        <v/>
      </c>
      <c r="S791" t="str">
        <f>""</f>
        <v/>
      </c>
      <c r="T791" t="str">
        <f>"https://portaletrasparenza.consorziobacchiglione.it/dettagli/attodigara/41/progettazione-opere-strutturali-processo-id-004-15.html"</f>
        <v>https://portaletrasparenza.consorziobacchiglione.it/dettagli/attodigara/41/progettazione-opere-strutturali-processo-id-004-15.html</v>
      </c>
      <c r="U791" t="str">
        <f>""</f>
        <v/>
      </c>
      <c r="V7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92" spans="1:22" x14ac:dyDescent="0.3">
      <c r="A792" t="str">
        <f>"Affidamento"</f>
        <v>Affidamento</v>
      </c>
      <c r="B792" t="str">
        <f>"Fornitura materiale vario per l'anno 2021 presso Bacino Sesta Presa"</f>
        <v>Fornitura materiale vario per l'anno 2021 presso Bacino Sesta Presa</v>
      </c>
      <c r="C792" t="str">
        <f>"Z29302EFCD"</f>
        <v>Z29302EFCD</v>
      </c>
      <c r="D792" t="str">
        <f>"14/01/2021"</f>
        <v>14/01/2021</v>
      </c>
      <c r="E792" t="str">
        <f>""</f>
        <v/>
      </c>
      <c r="F792" t="str">
        <f>""</f>
        <v/>
      </c>
      <c r="G792" t="str">
        <f>"5000.00"</f>
        <v>5000.00</v>
      </c>
      <c r="H792" t="str">
        <f>"Consorzio di bonifica Bacchiglione"</f>
        <v>Consorzio di bonifica Bacchiglione</v>
      </c>
      <c r="I792" t="str">
        <f>"92223390284"</f>
        <v>92223390284</v>
      </c>
      <c r="J792" t="str">
        <f>"23-AFFIDAMENTO DIRETTO"</f>
        <v>23-AFFIDAMENTO DIRETTO</v>
      </c>
      <c r="K792" t="str">
        <f>"14/01/2021"</f>
        <v>14/01/2021</v>
      </c>
      <c r="L792" t="str">
        <f>"30/04/2021"</f>
        <v>30/04/2021</v>
      </c>
      <c r="M792" t="str">
        <f>""</f>
        <v/>
      </c>
      <c r="N792" t="str">
        <f>"Idronord s.r.l. Via delle Industrie 3C 30036 Santa Maria Di Sala VE"</f>
        <v>Idronord s.r.l. Via delle Industrie 3C 30036 Santa Maria Di Sala VE</v>
      </c>
      <c r="O792" t="str">
        <f>"Idronord s.r.l. Via delle Industrie 3C 30036 Santa Maria Di Sala VE"</f>
        <v>Idronord s.r.l. Via delle Industrie 3C 30036 Santa Maria Di Sala VE</v>
      </c>
      <c r="P792" t="str">
        <f>"Z29302EFCD: [4999.99€ ]"</f>
        <v>Z29302EFCD: [4999.99€ ]</v>
      </c>
      <c r="Q792" t="str">
        <f>""</f>
        <v/>
      </c>
      <c r="R792" t="str">
        <f>""</f>
        <v/>
      </c>
      <c r="S792" t="str">
        <f>""</f>
        <v/>
      </c>
      <c r="T792" t="str">
        <f>"https://portaletrasparenza.consorziobacchiglione.it/dettagli/attodigara/6548/fornitura-materiale-vario-per-l-anno-2021-presso-bacino-sesta-presa.html"</f>
        <v>https://portaletrasparenza.consorziobacchiglione.it/dettagli/attodigara/6548/fornitura-materiale-vario-per-l-anno-2021-presso-bacino-sesta-presa.html</v>
      </c>
      <c r="U792" t="str">
        <f>"https://portaletrasparenza.consorziobacchiglione.it/download/attodigara/6548/63ac45496f61b.PDF"</f>
        <v>https://portaletrasparenza.consorziobacchiglione.it/download/attodigara/6548/63ac45496f61b.PDF</v>
      </c>
      <c r="V792">
        <f>(SUBSTITUTE(Tabella1[[#This Row],[Importo di aggiudicazione]],".",","))-(SUBSTITUTE(  SUBSTITUTE(          SUBSTITUTE(Tabella1[[#This Row],[Dettaglio somme liquidate]],Tabella1[[#This Row],[CIG]]&amp;": [",""),"€ ]",""),".",","))</f>
        <v>1.0000000000218279E-2</v>
      </c>
    </row>
    <row r="793" spans="1:22" x14ac:dyDescent="0.3">
      <c r="A793" t="str">
        <f>"Affidamento"</f>
        <v>Affidamento</v>
      </c>
      <c r="B793" t="str">
        <f>"Trasporto escavatore 900 cingolato da Saccolongo a Montegrotto Terme"</f>
        <v>Trasporto escavatore 900 cingolato da Saccolongo a Montegrotto Terme</v>
      </c>
      <c r="C793" t="str">
        <f>"ZAC3030C3F"</f>
        <v>ZAC3030C3F</v>
      </c>
      <c r="D793" t="str">
        <f>"18/01/2021"</f>
        <v>18/01/2021</v>
      </c>
      <c r="E793" t="str">
        <f>""</f>
        <v/>
      </c>
      <c r="F793" t="str">
        <f>""</f>
        <v/>
      </c>
      <c r="G793" t="str">
        <f>"240.00"</f>
        <v>240.00</v>
      </c>
      <c r="H793" t="str">
        <f>"Consorzio di bonifica Bacchiglione"</f>
        <v>Consorzio di bonifica Bacchiglione</v>
      </c>
      <c r="I793" t="str">
        <f>"92223390284"</f>
        <v>92223390284</v>
      </c>
      <c r="J793" t="str">
        <f>"23-AFFIDAMENTO DIRETTO"</f>
        <v>23-AFFIDAMENTO DIRETTO</v>
      </c>
      <c r="K793" t="str">
        <f>"14/01/2021"</f>
        <v>14/01/2021</v>
      </c>
      <c r="L793" t="str">
        <f>"25/01/2021"</f>
        <v>25/01/2021</v>
      </c>
      <c r="M793" t="str">
        <f>""</f>
        <v/>
      </c>
      <c r="N793" t="str">
        <f>"Trovò s.r.l. Via Idrovora, 3 - 35020 Codevigo (PD)"</f>
        <v>Trovò s.r.l. Via Idrovora, 3 - 35020 Codevigo (PD)</v>
      </c>
      <c r="O793" t="str">
        <f>"Trovò s.r.l. Via Idrovora, 3 - 35020 Codevigo (PD)"</f>
        <v>Trovò s.r.l. Via Idrovora, 3 - 35020 Codevigo (PD)</v>
      </c>
      <c r="P793" t="str">
        <f>"ZAC3030C3F: [240.00€ ]"</f>
        <v>ZAC3030C3F: [240.00€ ]</v>
      </c>
      <c r="Q793" t="str">
        <f>""</f>
        <v/>
      </c>
      <c r="R793" t="str">
        <f>""</f>
        <v/>
      </c>
      <c r="S793" t="str">
        <f>""</f>
        <v/>
      </c>
      <c r="T793" t="str">
        <f>"https://portaletrasparenza.consorziobacchiglione.it/dettagli/attodigara/6550/trasporto-escavatore-900-cingolato-da-saccolongo-a-montegrotto-terme.html"</f>
        <v>https://portaletrasparenza.consorziobacchiglione.it/dettagli/attodigara/6550/trasporto-escavatore-900-cingolato-da-saccolongo-a-montegrotto-terme.html</v>
      </c>
      <c r="U793" t="str">
        <f>"https://portaletrasparenza.consorziobacchiglione.it/download/attodigara/6550/63ac4549dfe92.PDF"</f>
        <v>https://portaletrasparenza.consorziobacchiglione.it/download/attodigara/6550/63ac4549dfe92.PDF</v>
      </c>
      <c r="V7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94" spans="1:22" x14ac:dyDescent="0.3">
      <c r="A794" t="str">
        <f>"Affidamento"</f>
        <v>Affidamento</v>
      </c>
      <c r="B794" t="str">
        <f>"Fornitura MC 3 di calcestruzzo RCK 350 SA per lavori presso Idrovora Brondolo"</f>
        <v>Fornitura MC 3 di calcestruzzo RCK 350 SA per lavori presso Idrovora Brondolo</v>
      </c>
      <c r="C794" t="str">
        <f>"Z923030D15"</f>
        <v>Z923030D15</v>
      </c>
      <c r="D794" t="str">
        <f>"18/01/2021"</f>
        <v>18/01/2021</v>
      </c>
      <c r="E794" t="str">
        <f>""</f>
        <v/>
      </c>
      <c r="F794" t="str">
        <f>""</f>
        <v/>
      </c>
      <c r="G794" t="str">
        <f>"255.50"</f>
        <v>255.50</v>
      </c>
      <c r="H794" t="str">
        <f>"Consorzio di bonifica Bacchiglione"</f>
        <v>Consorzio di bonifica Bacchiglione</v>
      </c>
      <c r="I794" t="str">
        <f>"92223390284"</f>
        <v>92223390284</v>
      </c>
      <c r="J794" t="str">
        <f>"23-AFFIDAMENTO DIRETTO"</f>
        <v>23-AFFIDAMENTO DIRETTO</v>
      </c>
      <c r="K794" t="str">
        <f>"14/01/2021"</f>
        <v>14/01/2021</v>
      </c>
      <c r="L794" t="str">
        <f>"18/01/2021"</f>
        <v>18/01/2021</v>
      </c>
      <c r="M794" t="str">
        <f>""</f>
        <v/>
      </c>
      <c r="N794" t="str">
        <f>"Zagolin Giovanni s.r.l. Via Gelsi 56 35028 Piove di Sacco PD"</f>
        <v>Zagolin Giovanni s.r.l. Via Gelsi 56 35028 Piove di Sacco PD</v>
      </c>
      <c r="O794" t="str">
        <f>"Zagolin Giovanni s.r.l. Via Gelsi 56 35028 Piove di Sacco PD"</f>
        <v>Zagolin Giovanni s.r.l. Via Gelsi 56 35028 Piove di Sacco PD</v>
      </c>
      <c r="P794" t="str">
        <f>"Z923030D15: [0.00€ ]"</f>
        <v>Z923030D15: [0.00€ ]</v>
      </c>
      <c r="Q794" t="str">
        <f>""</f>
        <v/>
      </c>
      <c r="R794" t="str">
        <f>""</f>
        <v/>
      </c>
      <c r="S794" t="str">
        <f>""</f>
        <v/>
      </c>
      <c r="T794" t="str">
        <f>"https://portaletrasparenza.consorziobacchiglione.it/dettagli/attodigara/6551/fornitura-mc-3-di-calcestruzzo-rck-350-sa-per-lavori-presso-idrovora-brondolo.html"</f>
        <v>https://portaletrasparenza.consorziobacchiglione.it/dettagli/attodigara/6551/fornitura-mc-3-di-calcestruzzo-rck-350-sa-per-lavori-presso-idrovora-brondolo.html</v>
      </c>
      <c r="U794" t="str">
        <f>"https://portaletrasparenza.consorziobacchiglione.it/download/attodigara/6551/62a2095a3f278.PDF"</f>
        <v>https://portaletrasparenza.consorziobacchiglione.it/download/attodigara/6551/62a2095a3f278.PDF</v>
      </c>
      <c r="V794">
        <f>(SUBSTITUTE(Tabella1[[#This Row],[Importo di aggiudicazione]],".",","))-(SUBSTITUTE(  SUBSTITUTE(          SUBSTITUTE(Tabella1[[#This Row],[Dettaglio somme liquidate]],Tabella1[[#This Row],[CIG]]&amp;": [",""),"€ ]",""),".",","))</f>
        <v>255.5</v>
      </c>
    </row>
    <row r="795" spans="1:22" x14ac:dyDescent="0.3">
      <c r="A795" t="str">
        <f>"Affidamento"</f>
        <v>Affidamento</v>
      </c>
      <c r="B795" t="str">
        <f>"Noleggio escavatore Volvo ECR 88D più battipalo per lavori di sistemazione presso scolo Scarpa"</f>
        <v>Noleggio escavatore Volvo ECR 88D più battipalo per lavori di sistemazione presso scolo Scarpa</v>
      </c>
      <c r="C795" t="str">
        <f>"Z4430307BF"</f>
        <v>Z4430307BF</v>
      </c>
      <c r="D795" t="str">
        <f>"18/01/2021"</f>
        <v>18/01/2021</v>
      </c>
      <c r="E795" t="str">
        <f>""</f>
        <v/>
      </c>
      <c r="F795" t="str">
        <f>""</f>
        <v/>
      </c>
      <c r="G795" t="str">
        <f>"4981.25"</f>
        <v>4981.25</v>
      </c>
      <c r="H795" t="str">
        <f>"Consorzio di bonifica Bacchiglione"</f>
        <v>Consorzio di bonifica Bacchiglione</v>
      </c>
      <c r="I795" t="str">
        <f>"92223390284"</f>
        <v>92223390284</v>
      </c>
      <c r="J795" t="str">
        <f>"23-AFFIDAMENTO DIRETTO"</f>
        <v>23-AFFIDAMENTO DIRETTO</v>
      </c>
      <c r="K795" t="str">
        <f>"14/01/2021"</f>
        <v>14/01/2021</v>
      </c>
      <c r="L795" t="str">
        <f>"29/01/2021"</f>
        <v>29/01/2021</v>
      </c>
      <c r="M795" t="str">
        <f>""</f>
        <v/>
      </c>
      <c r="N795" t="str">
        <f>"Foredil S.r.l. Via E.Fermi, 22 - 35030 Sarmeola di Rubano (PD)"</f>
        <v>Foredil S.r.l. Via E.Fermi, 22 - 35030 Sarmeola di Rubano (PD)</v>
      </c>
      <c r="O795" t="str">
        <f>"Foredil S.r.l. Via E.Fermi, 22 - 35030 Sarmeola di Rubano (PD)"</f>
        <v>Foredil S.r.l. Via E.Fermi, 22 - 35030 Sarmeola di Rubano (PD)</v>
      </c>
      <c r="P795" t="str">
        <f>"Z4430307BF: [4681.25€ ]"</f>
        <v>Z4430307BF: [4681.25€ ]</v>
      </c>
      <c r="Q795" t="str">
        <f>""</f>
        <v/>
      </c>
      <c r="R795" t="str">
        <f>""</f>
        <v/>
      </c>
      <c r="S795" t="str">
        <f>""</f>
        <v/>
      </c>
      <c r="T795" t="str">
        <f>"https://portaletrasparenza.consorziobacchiglione.it/dettagli/attodigara/6549/noleggio-escavatore-volvo-ecr-88d-piu-battipalo-per-lavori-di-sistemazione-presso-scolo-scarpa.html"</f>
        <v>https://portaletrasparenza.consorziobacchiglione.it/dettagli/attodigara/6549/noleggio-escavatore-volvo-ecr-88d-piu-battipalo-per-lavori-di-sistemazione-presso-scolo-scarpa.html</v>
      </c>
      <c r="U795" t="str">
        <f>"https://portaletrasparenza.consorziobacchiglione.it/download/attodigara/6549/63ac4549a79e7.PDF"</f>
        <v>https://portaletrasparenza.consorziobacchiglione.it/download/attodigara/6549/63ac4549a79e7.PDF</v>
      </c>
      <c r="V795">
        <f>(SUBSTITUTE(Tabella1[[#This Row],[Importo di aggiudicazione]],".",","))-(SUBSTITUTE(  SUBSTITUTE(          SUBSTITUTE(Tabella1[[#This Row],[Dettaglio somme liquidate]],Tabella1[[#This Row],[CIG]]&amp;": [",""),"€ ]",""),".",","))</f>
        <v>300</v>
      </c>
    </row>
    <row r="796" spans="1:22" x14ac:dyDescent="0.3">
      <c r="A796" t="str">
        <f>"Affidamento"</f>
        <v>Affidamento</v>
      </c>
      <c r="B796" t="str">
        <f>"Smontaggio completo elettrovalvola ED 80 pompa n 2 Idrovora Trezze."</f>
        <v>Smontaggio completo elettrovalvola ED 80 pompa n 2 Idrovora Trezze.</v>
      </c>
      <c r="C796" t="str">
        <f>"ZCA18F832D"</f>
        <v>ZCA18F832D</v>
      </c>
      <c r="D796" t="str">
        <f>"04/11/2021"</f>
        <v>04/11/2021</v>
      </c>
      <c r="E796" t="str">
        <f>""</f>
        <v/>
      </c>
      <c r="F796" t="str">
        <f>""</f>
        <v/>
      </c>
      <c r="G796" t="str">
        <f>"748.00"</f>
        <v>748.00</v>
      </c>
      <c r="H796" t="str">
        <f>"Consorzio di bonifica Bacchiglione"</f>
        <v>Consorzio di bonifica Bacchiglione</v>
      </c>
      <c r="I796" t="str">
        <f>"92223390284"</f>
        <v>92223390284</v>
      </c>
      <c r="J796" t="str">
        <f>"23-AFFIDAMENTO DIRETTO"</f>
        <v>23-AFFIDAMENTO DIRETTO</v>
      </c>
      <c r="K796" t="str">
        <f>"14/03/2021"</f>
        <v>14/03/2021</v>
      </c>
      <c r="L796" t="str">
        <f>"16/09/2021"</f>
        <v>16/09/2021</v>
      </c>
      <c r="M796" t="str">
        <f>""</f>
        <v/>
      </c>
      <c r="N796" t="str">
        <f>"Scarpa Sergio Elettromeccanica S.n.c. di Scarpa Paola E C. Via A. Vivaldi 7 35028 Piove di Sacco PD"</f>
        <v>Scarpa Sergio Elettromeccanica S.n.c. di Scarpa Paola E C. Via A. Vivaldi 7 35028 Piove di Sacco PD</v>
      </c>
      <c r="O796" t="str">
        <f>"Scarpa Sergio Elettromeccanica S.n.c. di Scarpa Paola E C. Via A. Vivaldi 7 35028 Piove di Sacco PD"</f>
        <v>Scarpa Sergio Elettromeccanica S.n.c. di Scarpa Paola E C. Via A. Vivaldi 7 35028 Piove di Sacco PD</v>
      </c>
      <c r="P796" t="str">
        <f>"ZCA18F832D: [748.00€ ]"</f>
        <v>ZCA18F832D: [748.00€ ]</v>
      </c>
      <c r="Q796" t="str">
        <f>""</f>
        <v/>
      </c>
      <c r="R796" t="str">
        <f>""</f>
        <v/>
      </c>
      <c r="S796" t="str">
        <f>""</f>
        <v/>
      </c>
      <c r="T796" t="str">
        <f>"https://portaletrasparenza.consorziobacchiglione.it/dettagli/attodigara/231/smontaggio-completo-elettrovalvola-ed-80-pompa-n-2-idrovora-trezze.html"</f>
        <v>https://portaletrasparenza.consorziobacchiglione.it/dettagli/attodigara/231/smontaggio-completo-elettrovalvola-ed-80-pompa-n-2-idrovora-trezze.html</v>
      </c>
      <c r="U796" t="str">
        <f>""</f>
        <v/>
      </c>
      <c r="V79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97" spans="1:22" x14ac:dyDescent="0.3">
      <c r="A797" t="str">
        <f>"Affidamento"</f>
        <v>Affidamento</v>
      </c>
      <c r="B797" t="str">
        <f>"Fornitura ricambi per elettroutensili vari C.O.S.Margherita."</f>
        <v>Fornitura ricambi per elettroutensili vari C.O.S.Margherita.</v>
      </c>
      <c r="C797" t="str">
        <f>"Z2618F821D"</f>
        <v>Z2618F821D</v>
      </c>
      <c r="D797" t="str">
        <f>"04/11/2021"</f>
        <v>04/11/2021</v>
      </c>
      <c r="E797" t="str">
        <f>""</f>
        <v/>
      </c>
      <c r="F797" t="str">
        <f>""</f>
        <v/>
      </c>
      <c r="G797" t="str">
        <f>"1137.80"</f>
        <v>1137.80</v>
      </c>
      <c r="H797" t="str">
        <f>"Consorzio di bonifica Bacchiglione"</f>
        <v>Consorzio di bonifica Bacchiglione</v>
      </c>
      <c r="I797" t="str">
        <f>"92223390284"</f>
        <v>92223390284</v>
      </c>
      <c r="J797" t="str">
        <f>"23-AFFIDAMENTO DIRETTO"</f>
        <v>23-AFFIDAMENTO DIRETTO</v>
      </c>
      <c r="K797" t="str">
        <f>"14/03/2021"</f>
        <v>14/03/2021</v>
      </c>
      <c r="L797" t="str">
        <f>"16/09/2021"</f>
        <v>16/09/2021</v>
      </c>
      <c r="M797" t="str">
        <f>""</f>
        <v/>
      </c>
      <c r="N797" t="str">
        <f>"Scarpa Sergio Elettromeccanica S.n.c. di Scarpa Paola E C. Via A. Vivaldi 7 35028 Piove di Sacco PD"</f>
        <v>Scarpa Sergio Elettromeccanica S.n.c. di Scarpa Paola E C. Via A. Vivaldi 7 35028 Piove di Sacco PD</v>
      </c>
      <c r="O797" t="str">
        <f>"Scarpa Sergio Elettromeccanica S.n.c. di Scarpa Paola E C. Via A. Vivaldi 7 35028 Piove di Sacco PD"</f>
        <v>Scarpa Sergio Elettromeccanica S.n.c. di Scarpa Paola E C. Via A. Vivaldi 7 35028 Piove di Sacco PD</v>
      </c>
      <c r="P797" t="str">
        <f>"Z2618F821D: [1137.80€ ]"</f>
        <v>Z2618F821D: [1137.80€ ]</v>
      </c>
      <c r="Q797" t="str">
        <f>""</f>
        <v/>
      </c>
      <c r="R797" t="str">
        <f>""</f>
        <v/>
      </c>
      <c r="S797" t="str">
        <f>""</f>
        <v/>
      </c>
      <c r="T797" t="str">
        <f>"https://portaletrasparenza.consorziobacchiglione.it/dettagli/attodigara/230/fornitura-ricambi-per-elettroutensili-vari-c-o-s-margherita.html"</f>
        <v>https://portaletrasparenza.consorziobacchiglione.it/dettagli/attodigara/230/fornitura-ricambi-per-elettroutensili-vari-c-o-s-margherita.html</v>
      </c>
      <c r="U797" t="str">
        <f>""</f>
        <v/>
      </c>
      <c r="V7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98" spans="1:22" x14ac:dyDescent="0.3">
      <c r="A798" t="str">
        <f>"Affidamento"</f>
        <v>Affidamento</v>
      </c>
      <c r="B798" t="str">
        <f>"Manutenzione ,riparazione, lavaggio più ingrassaggio mezzi con targa: AHH573, PDAF497."</f>
        <v>Manutenzione ,riparazione, lavaggio più ingrassaggio mezzi con targa: AHH573, PDAF497.</v>
      </c>
      <c r="C798" t="str">
        <f>"ZE618F7331"</f>
        <v>ZE618F7331</v>
      </c>
      <c r="D798" t="str">
        <f>"04/11/2021"</f>
        <v>04/11/2021</v>
      </c>
      <c r="E798" t="str">
        <f>""</f>
        <v/>
      </c>
      <c r="F798" t="str">
        <f>""</f>
        <v/>
      </c>
      <c r="G798" t="str">
        <f>"5389.88"</f>
        <v>5389.88</v>
      </c>
      <c r="H798" t="str">
        <f>"Consorzio di bonifica Bacchiglione"</f>
        <v>Consorzio di bonifica Bacchiglione</v>
      </c>
      <c r="I798" t="str">
        <f>"92223390284"</f>
        <v>92223390284</v>
      </c>
      <c r="J798" t="str">
        <f>"23-AFFIDAMENTO DIRETTO"</f>
        <v>23-AFFIDAMENTO DIRETTO</v>
      </c>
      <c r="K798" t="str">
        <f>"14/03/2021"</f>
        <v>14/03/2021</v>
      </c>
      <c r="L798" t="str">
        <f>"18/05/2021"</f>
        <v>18/05/2021</v>
      </c>
      <c r="M798" t="str">
        <f>""</f>
        <v/>
      </c>
      <c r="N798" t="str">
        <f>"Officina Biesse S.n.c. Via Matteotti 24 35020 Arzergrande PD"</f>
        <v>Officina Biesse S.n.c. Via Matteotti 24 35020 Arzergrande PD</v>
      </c>
      <c r="O798" t="str">
        <f>"Officina Biesse S.n.c. Via Matteotti 24 35020 Arzergrande PD"</f>
        <v>Officina Biesse S.n.c. Via Matteotti 24 35020 Arzergrande PD</v>
      </c>
      <c r="P798" t="str">
        <f>"ZE618F7331: [5389.88€ ]"</f>
        <v>ZE618F7331: [5389.88€ ]</v>
      </c>
      <c r="Q798" t="str">
        <f>""</f>
        <v/>
      </c>
      <c r="R798" t="str">
        <f>""</f>
        <v/>
      </c>
      <c r="S798" t="str">
        <f>""</f>
        <v/>
      </c>
      <c r="T798" t="str">
        <f>"https://portaletrasparenza.consorziobacchiglione.it/dettagli/attodigara/229/manutenzione-riparazione-lavaggio-piu-ingrassaggio-mezzi-con-targa-ahh573-pdaf497.html"</f>
        <v>https://portaletrasparenza.consorziobacchiglione.it/dettagli/attodigara/229/manutenzione-riparazione-lavaggio-piu-ingrassaggio-mezzi-con-targa-ahh573-pdaf497.html</v>
      </c>
      <c r="U798" t="str">
        <f>""</f>
        <v/>
      </c>
      <c r="V7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799" spans="1:22" x14ac:dyDescent="0.3">
      <c r="A799" t="str">
        <f>"Affidamento"</f>
        <v>Affidamento</v>
      </c>
      <c r="B799" t="str">
        <f>"Fornitura materiale edile per Idrovora Santoria."</f>
        <v>Fornitura materiale edile per Idrovora Santoria.</v>
      </c>
      <c r="C799" t="str">
        <f>"Z5118F6E54"</f>
        <v>Z5118F6E54</v>
      </c>
      <c r="D799" t="str">
        <f>"04/11/2021"</f>
        <v>04/11/2021</v>
      </c>
      <c r="E799" t="str">
        <f>""</f>
        <v/>
      </c>
      <c r="F799" t="str">
        <f>""</f>
        <v/>
      </c>
      <c r="G799" t="str">
        <f>"472.50"</f>
        <v>472.50</v>
      </c>
      <c r="H799" t="str">
        <f>"Consorzio di bonifica Bacchiglione"</f>
        <v>Consorzio di bonifica Bacchiglione</v>
      </c>
      <c r="I799" t="str">
        <f>"92223390284"</f>
        <v>92223390284</v>
      </c>
      <c r="J799" t="str">
        <f>"23-AFFIDAMENTO DIRETTO"</f>
        <v>23-AFFIDAMENTO DIRETTO</v>
      </c>
      <c r="K799" t="str">
        <f>"14/03/2021"</f>
        <v>14/03/2021</v>
      </c>
      <c r="L799" t="str">
        <f>"14/04/2021"</f>
        <v>14/04/2021</v>
      </c>
      <c r="M799" t="str">
        <f>""</f>
        <v/>
      </c>
      <c r="N799" t="str">
        <f>"Idronord s.r.l. Via delle Industrie 3C 30036 Santa Maria Di Sala VE"</f>
        <v>Idronord s.r.l. Via delle Industrie 3C 30036 Santa Maria Di Sala VE</v>
      </c>
      <c r="O799" t="str">
        <f>"Idronord s.r.l. Via delle Industrie 3C 30036 Santa Maria Di Sala VE"</f>
        <v>Idronord s.r.l. Via delle Industrie 3C 30036 Santa Maria Di Sala VE</v>
      </c>
      <c r="P799" t="str">
        <f>"Z5118F6E54: [472.50€ ]"</f>
        <v>Z5118F6E54: [472.50€ ]</v>
      </c>
      <c r="Q799" t="str">
        <f>""</f>
        <v/>
      </c>
      <c r="R799" t="str">
        <f>""</f>
        <v/>
      </c>
      <c r="S799" t="str">
        <f>""</f>
        <v/>
      </c>
      <c r="T799" t="str">
        <f>"https://portaletrasparenza.consorziobacchiglione.it/dettagli/attodigara/228/fornitura-materiale-edile-per-idrovora-santoria.html"</f>
        <v>https://portaletrasparenza.consorziobacchiglione.it/dettagli/attodigara/228/fornitura-materiale-edile-per-idrovora-santoria.html</v>
      </c>
      <c r="U799" t="str">
        <f>""</f>
        <v/>
      </c>
      <c r="V7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00" spans="1:22" x14ac:dyDescent="0.3">
      <c r="A800" t="str">
        <f>"Affidamento"</f>
        <v>Affidamento</v>
      </c>
      <c r="B800" t="str">
        <f>"Risoluzione della criticità idraulica di Via Sabbioncello nel Comune di Saonara"</f>
        <v>Risoluzione della criticità idraulica di Via Sabbioncello nel Comune di Saonara</v>
      </c>
      <c r="C800" t="str">
        <f>"680845961A"</f>
        <v>680845961A</v>
      </c>
      <c r="D800" t="str">
        <f>"04/11/2021"</f>
        <v>04/11/2021</v>
      </c>
      <c r="E800" t="str">
        <f>""</f>
        <v/>
      </c>
      <c r="F800" t="str">
        <f>""</f>
        <v/>
      </c>
      <c r="G800" t="str">
        <f>"46956.16"</f>
        <v>46956.16</v>
      </c>
      <c r="H800" t="str">
        <f>"Consorzio di bonifica Bacchiglione"</f>
        <v>Consorzio di bonifica Bacchiglione</v>
      </c>
      <c r="I800" t="str">
        <f>"92223390284"</f>
        <v>92223390284</v>
      </c>
      <c r="J800" t="str">
        <f>"04-PROCEDURA NEGOZIATA SENZA PREVIA PUBBLICAZIONE"</f>
        <v>04-PROCEDURA NEGOZIATA SENZA PREVIA PUBBLICAZIONE</v>
      </c>
      <c r="K800" t="str">
        <f>"14/03/2021"</f>
        <v>14/03/2021</v>
      </c>
      <c r="L800" t="str">
        <f>"08/03/2021"</f>
        <v>08/03/2021</v>
      </c>
      <c r="M800" t="str">
        <f>""</f>
        <v/>
      </c>
      <c r="N800" t="s">
        <v>58</v>
      </c>
      <c r="O800" t="str">
        <f>"Impresa Scala Santo s.r.l."</f>
        <v>Impresa Scala Santo s.r.l.</v>
      </c>
      <c r="P800" t="str">
        <f>"680845961A: [46698.91€ ]"</f>
        <v>680845961A: [46698.91€ ]</v>
      </c>
      <c r="Q800" t="str">
        <f>""</f>
        <v/>
      </c>
      <c r="R800" t="str">
        <f>""</f>
        <v/>
      </c>
      <c r="S800" t="str">
        <f>""</f>
        <v/>
      </c>
      <c r="T800" t="str">
        <f>"https://portaletrasparenza.consorziobacchiglione.it/dettagli/attodigara/26/risoluzione-della-criticita-idraulica-di-via-sabbioncello-nel-comune-di-saonara.html"</f>
        <v>https://portaletrasparenza.consorziobacchiglione.it/dettagli/attodigara/26/risoluzione-della-criticita-idraulica-di-via-sabbioncello-nel-comune-di-saonara.html</v>
      </c>
      <c r="U800" t="str">
        <f>""</f>
        <v/>
      </c>
      <c r="V800">
        <f>(SUBSTITUTE(Tabella1[[#This Row],[Importo di aggiudicazione]],".",","))-(SUBSTITUTE(  SUBSTITUTE(          SUBSTITUTE(Tabella1[[#This Row],[Dettaglio somme liquidate]],Tabella1[[#This Row],[CIG]]&amp;": [",""),"€ ]",""),".",","))</f>
        <v>257.25</v>
      </c>
    </row>
    <row r="801" spans="1:22" x14ac:dyDescent="0.3">
      <c r="A801" t="str">
        <f>"Affidamento"</f>
        <v>Affidamento</v>
      </c>
      <c r="B801" t="str">
        <f>"Trasporto escavatore cingolato dallo scolo Brentella Vecchia allo scolo Piovego."</f>
        <v>Trasporto escavatore cingolato dallo scolo Brentella Vecchia allo scolo Piovego.</v>
      </c>
      <c r="C801" t="str">
        <f>"ZAE196FF4F"</f>
        <v>ZAE196FF4F</v>
      </c>
      <c r="D801" t="str">
        <f>"04/11/2021"</f>
        <v>04/11/2021</v>
      </c>
      <c r="E801" t="str">
        <f>""</f>
        <v/>
      </c>
      <c r="F801" t="str">
        <f>""</f>
        <v/>
      </c>
      <c r="G801" t="str">
        <f>"165.00"</f>
        <v>165.00</v>
      </c>
      <c r="H801" t="str">
        <f>"Consorzio di bonifica Bacchiglione"</f>
        <v>Consorzio di bonifica Bacchiglione</v>
      </c>
      <c r="I801" t="str">
        <f>"92223390284"</f>
        <v>92223390284</v>
      </c>
      <c r="J801" t="str">
        <f>"23-AFFIDAMENTO DIRETTO"</f>
        <v>23-AFFIDAMENTO DIRETTO</v>
      </c>
      <c r="K801" t="str">
        <f>"14/04/2021"</f>
        <v>14/04/2021</v>
      </c>
      <c r="L801" t="str">
        <f>"18/05/2021"</f>
        <v>18/05/2021</v>
      </c>
      <c r="M801" t="str">
        <f>""</f>
        <v/>
      </c>
      <c r="N801" t="str">
        <f>"Trovò s.r.l. Via Idrovora, 3 - 35020 Codevigo (PD)"</f>
        <v>Trovò s.r.l. Via Idrovora, 3 - 35020 Codevigo (PD)</v>
      </c>
      <c r="O801" t="str">
        <f>"Trovò s.r.l. Via Idrovora, 3 - 35020 Codevigo (PD)"</f>
        <v>Trovò s.r.l. Via Idrovora, 3 - 35020 Codevigo (PD)</v>
      </c>
      <c r="P801" t="str">
        <f>"ZAE196FF4F: [165.00€ ]"</f>
        <v>ZAE196FF4F: [165.00€ ]</v>
      </c>
      <c r="Q801" t="str">
        <f>""</f>
        <v/>
      </c>
      <c r="R801" t="str">
        <f>""</f>
        <v/>
      </c>
      <c r="S801" t="str">
        <f>""</f>
        <v/>
      </c>
      <c r="T801" t="str">
        <f>"https://portaletrasparenza.consorziobacchiglione.it/dettagli/attodigara/327/trasporto-escavatore-cingolato-dallo-scolo-brentella-vecchia-allo-scolo-piovego.html"</f>
        <v>https://portaletrasparenza.consorziobacchiglione.it/dettagli/attodigara/327/trasporto-escavatore-cingolato-dallo-scolo-brentella-vecchia-allo-scolo-piovego.html</v>
      </c>
      <c r="U801" t="str">
        <f>""</f>
        <v/>
      </c>
      <c r="V80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02" spans="1:22" x14ac:dyDescent="0.3">
      <c r="A802" t="str">
        <f>"Affidamento"</f>
        <v>Affidamento</v>
      </c>
      <c r="B802" t="str">
        <f>"Manutenzione e riparazione benna falciante VTN su mezzo con targa: AGK711."</f>
        <v>Manutenzione e riparazione benna falciante VTN su mezzo con targa: AGK711.</v>
      </c>
      <c r="C802" t="str">
        <f>"Z8F196E358"</f>
        <v>Z8F196E358</v>
      </c>
      <c r="D802" t="str">
        <f>"04/11/2021"</f>
        <v>04/11/2021</v>
      </c>
      <c r="E802" t="str">
        <f>""</f>
        <v/>
      </c>
      <c r="F802" t="str">
        <f>""</f>
        <v/>
      </c>
      <c r="G802" t="str">
        <f>"1214.00"</f>
        <v>1214.00</v>
      </c>
      <c r="H802" t="str">
        <f>"Consorzio di bonifica Bacchiglione"</f>
        <v>Consorzio di bonifica Bacchiglione</v>
      </c>
      <c r="I802" t="str">
        <f>"92223390284"</f>
        <v>92223390284</v>
      </c>
      <c r="J802" t="str">
        <f>"23-AFFIDAMENTO DIRETTO"</f>
        <v>23-AFFIDAMENTO DIRETTO</v>
      </c>
      <c r="K802" t="str">
        <f>"14/04/2021"</f>
        <v>14/04/2021</v>
      </c>
      <c r="L802" t="str">
        <f>"18/05/2021"</f>
        <v>18/05/2021</v>
      </c>
      <c r="M802" t="str">
        <f>""</f>
        <v/>
      </c>
      <c r="N802" t="str">
        <f>"Officina Biesse S.n.c. Via Matteotti 24 35020 Arzergrande PD"</f>
        <v>Officina Biesse S.n.c. Via Matteotti 24 35020 Arzergrande PD</v>
      </c>
      <c r="O802" t="str">
        <f>"Officina Biesse S.n.c. Via Matteotti 24 35020 Arzergrande PD"</f>
        <v>Officina Biesse S.n.c. Via Matteotti 24 35020 Arzergrande PD</v>
      </c>
      <c r="P802" t="str">
        <f>"Z8F196E358: [1214.00€ ]"</f>
        <v>Z8F196E358: [1214.00€ ]</v>
      </c>
      <c r="Q802" t="str">
        <f>""</f>
        <v/>
      </c>
      <c r="R802" t="str">
        <f>""</f>
        <v/>
      </c>
      <c r="S802" t="str">
        <f>""</f>
        <v/>
      </c>
      <c r="T802" t="str">
        <f>"https://portaletrasparenza.consorziobacchiglione.it/dettagli/attodigara/326/manutenzione-e-riparazione-benna-falciante-vtn-su-mezzo-con-targa-agk711.html"</f>
        <v>https://portaletrasparenza.consorziobacchiglione.it/dettagli/attodigara/326/manutenzione-e-riparazione-benna-falciante-vtn-su-mezzo-con-targa-agk711.html</v>
      </c>
      <c r="U802" t="str">
        <f>""</f>
        <v/>
      </c>
      <c r="V8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03" spans="1:22" x14ac:dyDescent="0.3">
      <c r="A803" t="str">
        <f>"Affidamento"</f>
        <v>Affidamento</v>
      </c>
      <c r="B803" t="str">
        <f>"Riparazione e manutenzione decespugliatori Sthil, rasaerba, trattorino Viking C.O.S.Margherita."</f>
        <v>Riparazione e manutenzione decespugliatori Sthil, rasaerba, trattorino Viking C.O.S.Margherita.</v>
      </c>
      <c r="C803" t="str">
        <f>"ZE5196CA7B"</f>
        <v>ZE5196CA7B</v>
      </c>
      <c r="D803" t="str">
        <f>"04/11/2021"</f>
        <v>04/11/2021</v>
      </c>
      <c r="E803" t="str">
        <f>""</f>
        <v/>
      </c>
      <c r="F803" t="str">
        <f>""</f>
        <v/>
      </c>
      <c r="G803" t="str">
        <f>"429.10"</f>
        <v>429.10</v>
      </c>
      <c r="H803" t="str">
        <f>"Consorzio di bonifica Bacchiglione"</f>
        <v>Consorzio di bonifica Bacchiglione</v>
      </c>
      <c r="I803" t="str">
        <f>"92223390284"</f>
        <v>92223390284</v>
      </c>
      <c r="J803" t="str">
        <f>"23-AFFIDAMENTO DIRETTO"</f>
        <v>23-AFFIDAMENTO DIRETTO</v>
      </c>
      <c r="K803" t="str">
        <f>"14/04/2021"</f>
        <v>14/04/2021</v>
      </c>
      <c r="L803" t="str">
        <f>"03/05/2021"</f>
        <v>03/05/2021</v>
      </c>
      <c r="M803" t="str">
        <f>""</f>
        <v/>
      </c>
      <c r="N803" t="str">
        <f>"Frizzarin Riccardo Via Papa Giovanni XXXIII 20 35026 Conselve PD"</f>
        <v>Frizzarin Riccardo Via Papa Giovanni XXXIII 20 35026 Conselve PD</v>
      </c>
      <c r="O803" t="str">
        <f>"Frizzarin Riccardo Via Papa Giovanni XXXIII 20 35026 Conselve PD"</f>
        <v>Frizzarin Riccardo Via Papa Giovanni XXXIII 20 35026 Conselve PD</v>
      </c>
      <c r="P803" t="str">
        <f>"ZE5196CA7B: [429.10€ ]"</f>
        <v>ZE5196CA7B: [429.10€ ]</v>
      </c>
      <c r="Q803" t="str">
        <f>""</f>
        <v/>
      </c>
      <c r="R803" t="str">
        <f>""</f>
        <v/>
      </c>
      <c r="S803" t="str">
        <f>""</f>
        <v/>
      </c>
      <c r="T803" t="str">
        <f>"https://portaletrasparenza.consorziobacchiglione.it/dettagli/attodigara/325/riparazione-e-manutenzione-decespugliatori-sthil-rasaerba-trattorino-viking-c-o-s-margherita.html"</f>
        <v>https://portaletrasparenza.consorziobacchiglione.it/dettagli/attodigara/325/riparazione-e-manutenzione-decespugliatori-sthil-rasaerba-trattorino-viking-c-o-s-margherita.html</v>
      </c>
      <c r="U803" t="str">
        <f>""</f>
        <v/>
      </c>
      <c r="V8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04" spans="1:22" x14ac:dyDescent="0.3">
      <c r="A804" t="str">
        <f>"Affidamento"</f>
        <v>Affidamento</v>
      </c>
      <c r="B804" t="str">
        <f>"Fornitura sasso trachitico per frane in via Boligo Campolongo Maggiore."</f>
        <v>Fornitura sasso trachitico per frane in via Boligo Campolongo Maggiore.</v>
      </c>
      <c r="C804" t="str">
        <f>"Z63196C9C2"</f>
        <v>Z63196C9C2</v>
      </c>
      <c r="D804" t="str">
        <f>"04/11/2021"</f>
        <v>04/11/2021</v>
      </c>
      <c r="E804" t="str">
        <f>""</f>
        <v/>
      </c>
      <c r="F804" t="str">
        <f>""</f>
        <v/>
      </c>
      <c r="G804" t="str">
        <f>"2306.04"</f>
        <v>2306.04</v>
      </c>
      <c r="H804" t="str">
        <f>"Consorzio di bonifica Bacchiglione"</f>
        <v>Consorzio di bonifica Bacchiglione</v>
      </c>
      <c r="I804" t="str">
        <f>"92223390284"</f>
        <v>92223390284</v>
      </c>
      <c r="J804" t="str">
        <f>"23-AFFIDAMENTO DIRETTO"</f>
        <v>23-AFFIDAMENTO DIRETTO</v>
      </c>
      <c r="K804" t="str">
        <f>"14/04/2021"</f>
        <v>14/04/2021</v>
      </c>
      <c r="L804" t="str">
        <f>"18/05/2021"</f>
        <v>18/05/2021</v>
      </c>
      <c r="M804" t="str">
        <f>""</f>
        <v/>
      </c>
      <c r="N804" t="str">
        <f>"Trovò s.r.l. Via Idrovora, 3 - 35020 Codevigo (PD)"</f>
        <v>Trovò s.r.l. Via Idrovora, 3 - 35020 Codevigo (PD)</v>
      </c>
      <c r="O804" t="str">
        <f>"Trovò s.r.l. Via Idrovora, 3 - 35020 Codevigo (PD)"</f>
        <v>Trovò s.r.l. Via Idrovora, 3 - 35020 Codevigo (PD)</v>
      </c>
      <c r="P804" t="str">
        <f>"Z63196C9C2: [2306.04€ ]"</f>
        <v>Z63196C9C2: [2306.04€ ]</v>
      </c>
      <c r="Q804" t="str">
        <f>""</f>
        <v/>
      </c>
      <c r="R804" t="str">
        <f>""</f>
        <v/>
      </c>
      <c r="S804" t="str">
        <f>""</f>
        <v/>
      </c>
      <c r="T804" t="str">
        <f>"https://portaletrasparenza.consorziobacchiglione.it/dettagli/attodigara/324/fornitura-sasso-trachitico-per-frane-in-via-boligo-campolongo-maggiore.html"</f>
        <v>https://portaletrasparenza.consorziobacchiglione.it/dettagli/attodigara/324/fornitura-sasso-trachitico-per-frane-in-via-boligo-campolongo-maggiore.html</v>
      </c>
      <c r="U804" t="str">
        <f>""</f>
        <v/>
      </c>
      <c r="V8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05" spans="1:22" x14ac:dyDescent="0.3">
      <c r="A805" t="str">
        <f>"Affidamento"</f>
        <v>Affidamento</v>
      </c>
      <c r="B805" t="str">
        <f>"Fornitura di un armadio inverter per EP1 da 400 KW - 690V per Idrovora di Cambroso."</f>
        <v>Fornitura di un armadio inverter per EP1 da 400 KW - 690V per Idrovora di Cambroso.</v>
      </c>
      <c r="C805" t="str">
        <f>"Z73196C92B"</f>
        <v>Z73196C92B</v>
      </c>
      <c r="D805" t="str">
        <f>"04/11/2021"</f>
        <v>04/11/2021</v>
      </c>
      <c r="E805" t="str">
        <f>""</f>
        <v/>
      </c>
      <c r="F805" t="str">
        <f>""</f>
        <v/>
      </c>
      <c r="G805" t="str">
        <f>"19953.00"</f>
        <v>19953.00</v>
      </c>
      <c r="H805" t="str">
        <f>"Consorzio di bonifica Bacchiglione"</f>
        <v>Consorzio di bonifica Bacchiglione</v>
      </c>
      <c r="I805" t="str">
        <f>"92223390284"</f>
        <v>92223390284</v>
      </c>
      <c r="J805" t="str">
        <f>"23-AFFIDAMENTO DIRETTO"</f>
        <v>23-AFFIDAMENTO DIRETTO</v>
      </c>
      <c r="K805" t="str">
        <f>"14/04/2021"</f>
        <v>14/04/2021</v>
      </c>
      <c r="L805" t="str">
        <f>"11/07/2021"</f>
        <v>11/07/2021</v>
      </c>
      <c r="M805" t="str">
        <f>""</f>
        <v/>
      </c>
      <c r="N805" t="str">
        <f>"SCHNEIDER ELECTRIC S.P.A. Via Circonvallazione Est, 1 - 24040 Stezzano (BG)"</f>
        <v>SCHNEIDER ELECTRIC S.P.A. Via Circonvallazione Est, 1 - 24040 Stezzano (BG)</v>
      </c>
      <c r="O805" t="str">
        <f>"SCHNEIDER ELECTRIC S.P.A. Via Circonvallazione Est, 1 - 24040 Stezzano (BG)"</f>
        <v>SCHNEIDER ELECTRIC S.P.A. Via Circonvallazione Est, 1 - 24040 Stezzano (BG)</v>
      </c>
      <c r="P805" t="str">
        <f>"Z73196C92B: [19873.85€ ]"</f>
        <v>Z73196C92B: [19873.85€ ]</v>
      </c>
      <c r="Q805" t="str">
        <f>""</f>
        <v/>
      </c>
      <c r="R805" t="str">
        <f>""</f>
        <v/>
      </c>
      <c r="S805" t="str">
        <f>""</f>
        <v/>
      </c>
      <c r="T805" t="str">
        <f>"https://portaletrasparenza.consorziobacchiglione.it/dettagli/attodigara/323/fornitura-di-un-armadio-inverter-per-ep1-da-400-kw-690v-per-idrovora-di-cambroso.html"</f>
        <v>https://portaletrasparenza.consorziobacchiglione.it/dettagli/attodigara/323/fornitura-di-un-armadio-inverter-per-ep1-da-400-kw-690v-per-idrovora-di-cambroso.html</v>
      </c>
      <c r="U805" t="str">
        <f>""</f>
        <v/>
      </c>
      <c r="V805">
        <f>(SUBSTITUTE(Tabella1[[#This Row],[Importo di aggiudicazione]],".",","))-(SUBSTITUTE(  SUBSTITUTE(          SUBSTITUTE(Tabella1[[#This Row],[Dettaglio somme liquidate]],Tabella1[[#This Row],[CIG]]&amp;": [",""),"€ ]",""),".",","))</f>
        <v>79.150000000001455</v>
      </c>
    </row>
    <row r="806" spans="1:22" x14ac:dyDescent="0.3">
      <c r="A806" t="str">
        <f>"Affidamento"</f>
        <v>Affidamento</v>
      </c>
      <c r="B806" t="str">
        <f>"Manutenzione e riparazione mezzo con targa: CT189YR"</f>
        <v>Manutenzione e riparazione mezzo con targa: CT189YR</v>
      </c>
      <c r="C806" t="str">
        <f>"Z553159DA4"</f>
        <v>Z553159DA4</v>
      </c>
      <c r="D806" t="str">
        <f>"15/04/2021"</f>
        <v>15/04/2021</v>
      </c>
      <c r="E806" t="str">
        <f>""</f>
        <v/>
      </c>
      <c r="F806" t="str">
        <f>""</f>
        <v/>
      </c>
      <c r="G806" t="str">
        <f>"1104.39"</f>
        <v>1104.39</v>
      </c>
      <c r="H806" t="str">
        <f>"Consorzio di bonifica Bacchiglione"</f>
        <v>Consorzio di bonifica Bacchiglione</v>
      </c>
      <c r="I806" t="str">
        <f>"92223390284"</f>
        <v>92223390284</v>
      </c>
      <c r="J806" t="str">
        <f>"23-AFFIDAMENTO DIRETTO"</f>
        <v>23-AFFIDAMENTO DIRETTO</v>
      </c>
      <c r="K806" t="str">
        <f>"14/04/2021"</f>
        <v>14/04/2021</v>
      </c>
      <c r="L806" t="str">
        <f>"27/04/2021"</f>
        <v>27/04/2021</v>
      </c>
      <c r="M806" t="str">
        <f>""</f>
        <v/>
      </c>
      <c r="N806" t="str">
        <f>"Negrisolo Officina Meccanica s.a.s. V.le delle Industrie II° strada 13 35025 Cagnola di Cartura PD"</f>
        <v>Negrisolo Officina Meccanica s.a.s. V.le delle Industrie II° strada 13 35025 Cagnola di Cartura PD</v>
      </c>
      <c r="O806" t="str">
        <f>"Negrisolo Officina Meccanica s.a.s. V.le delle Industrie II° strada 13 35025 Cagnola di Cartura PD"</f>
        <v>Negrisolo Officina Meccanica s.a.s. V.le delle Industrie II° strada 13 35025 Cagnola di Cartura PD</v>
      </c>
      <c r="P806" t="s">
        <v>335</v>
      </c>
      <c r="Q806" t="str">
        <f>""</f>
        <v/>
      </c>
      <c r="R806" t="str">
        <f>""</f>
        <v/>
      </c>
      <c r="S806" t="str">
        <f>""</f>
        <v/>
      </c>
      <c r="T806" t="str">
        <f>"https://portaletrasparenza.consorziobacchiglione.it/dettagli/attodigara/6805/manutenzione-e-riparazione-mezzo-con-targa-ct189yr.html"</f>
        <v>https://portaletrasparenza.consorziobacchiglione.it/dettagli/attodigara/6805/manutenzione-e-riparazione-mezzo-con-targa-ct189yr.html</v>
      </c>
      <c r="U806" t="str">
        <f>"https://portaletrasparenza.consorziobacchiglione.it/download/attodigara/6805/63ac457f9fe90.PDF"</f>
        <v>https://portaletrasparenza.consorziobacchiglione.it/download/attodigara/6805/63ac457f9fe90.PDF</v>
      </c>
      <c r="V8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07" spans="1:22" x14ac:dyDescent="0.3">
      <c r="A807" t="str">
        <f>"Affidamento"</f>
        <v>Affidamento</v>
      </c>
      <c r="B807" t="str">
        <f>"Quota associativa annuale 2021 per l'iscrizione all'Albo Veneto Installatori Elettrici Qualificati AVIEL UNAE Veneto."</f>
        <v>Quota associativa annuale 2021 per l'iscrizione all'Albo Veneto Installatori Elettrici Qualificati AVIEL UNAE Veneto.</v>
      </c>
      <c r="C807" t="str">
        <f>"Z22315BFF0"</f>
        <v>Z22315BFF0</v>
      </c>
      <c r="D807" t="str">
        <f>"15/04/2021"</f>
        <v>15/04/2021</v>
      </c>
      <c r="E807" t="str">
        <f>""</f>
        <v/>
      </c>
      <c r="F807" t="str">
        <f>""</f>
        <v/>
      </c>
      <c r="G807" t="str">
        <f>"125.00"</f>
        <v>125.00</v>
      </c>
      <c r="H807" t="str">
        <f>"Consorzio di bonifica Bacchiglione"</f>
        <v>Consorzio di bonifica Bacchiglione</v>
      </c>
      <c r="I807" t="str">
        <f>"92223390284"</f>
        <v>92223390284</v>
      </c>
      <c r="J807" t="str">
        <f>"23-AFFIDAMENTO DIRETTO"</f>
        <v>23-AFFIDAMENTO DIRETTO</v>
      </c>
      <c r="K807" t="str">
        <f>"14/04/2021"</f>
        <v>14/04/2021</v>
      </c>
      <c r="L807" t="str">
        <f>"19/05/2021"</f>
        <v>19/05/2021</v>
      </c>
      <c r="M807" t="str">
        <f>""</f>
        <v/>
      </c>
      <c r="N807" t="str">
        <f>"Aviel Unae Veneto presso Università di Padova - Dipartimento di Ingegneria Elettrica Via G. Gradenigo 6A 35131 Padova"</f>
        <v>Aviel Unae Veneto presso Università di Padova - Dipartimento di Ingegneria Elettrica Via G. Gradenigo 6A 35131 Padova</v>
      </c>
      <c r="O807" t="str">
        <f>"Aviel Unae Veneto presso Università di Padova - Dipartimento di Ingegneria Elettrica Via G. Gradenigo 6A 35131 Padova"</f>
        <v>Aviel Unae Veneto presso Università di Padova - Dipartimento di Ingegneria Elettrica Via G. Gradenigo 6A 35131 Padova</v>
      </c>
      <c r="P807" t="str">
        <f>"Z22315BFF0: [125.00€ ]"</f>
        <v>Z22315BFF0: [125.00€ ]</v>
      </c>
      <c r="Q807" t="str">
        <f>""</f>
        <v/>
      </c>
      <c r="R807" t="str">
        <f>""</f>
        <v/>
      </c>
      <c r="S807" t="str">
        <f>""</f>
        <v/>
      </c>
      <c r="T807" t="str">
        <f>"https://portaletrasparenza.consorziobacchiglione.it/dettagli/attodigara/6806/quota-associativa-annuale-2021-per-l-iscrizione-all-albo-veneto-installatori-elettrici-qualificati-aviel-unae-veneto.html"</f>
        <v>https://portaletrasparenza.consorziobacchiglione.it/dettagli/attodigara/6806/quota-associativa-annuale-2021-per-l-iscrizione-all-albo-veneto-installatori-elettrici-qualificati-aviel-unae-veneto.html</v>
      </c>
      <c r="U807" t="str">
        <f>"https://portaletrasparenza.consorziobacchiglione.it/download/attodigara/6806/63ac457fd8c45.PDF"</f>
        <v>https://portaletrasparenza.consorziobacchiglione.it/download/attodigara/6806/63ac457fd8c45.PDF</v>
      </c>
      <c r="V80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08" spans="1:22" x14ac:dyDescent="0.3">
      <c r="A808" t="str">
        <f>"Affidamento"</f>
        <v>Affidamento</v>
      </c>
      <c r="B808" t="str">
        <f>"Fornitura grasso per mezzi consorziali"</f>
        <v>Fornitura grasso per mezzi consorziali</v>
      </c>
      <c r="C808" t="str">
        <f>"Z0C3158FD9"</f>
        <v>Z0C3158FD9</v>
      </c>
      <c r="D808" t="str">
        <f>"15/04/2021"</f>
        <v>15/04/2021</v>
      </c>
      <c r="E808" t="str">
        <f>""</f>
        <v/>
      </c>
      <c r="F808" t="str">
        <f>""</f>
        <v/>
      </c>
      <c r="G808" t="str">
        <f>"7598.82"</f>
        <v>7598.82</v>
      </c>
      <c r="H808" t="str">
        <f>"Consorzio di bonifica Bacchiglione"</f>
        <v>Consorzio di bonifica Bacchiglione</v>
      </c>
      <c r="I808" t="str">
        <f>"92223390284"</f>
        <v>92223390284</v>
      </c>
      <c r="J808" t="str">
        <f>"23-AFFIDAMENTO DIRETTO"</f>
        <v>23-AFFIDAMENTO DIRETTO</v>
      </c>
      <c r="K808" t="str">
        <f>"14/04/2021"</f>
        <v>14/04/2021</v>
      </c>
      <c r="L808" t="str">
        <f>"30/04/2021"</f>
        <v>30/04/2021</v>
      </c>
      <c r="M808" t="str">
        <f>""</f>
        <v/>
      </c>
      <c r="N808" t="str">
        <f>"Nils S.p.A. Via Stazione 30 39014 Burgstall BZ"</f>
        <v>Nils S.p.A. Via Stazione 30 39014 Burgstall BZ</v>
      </c>
      <c r="O808" t="str">
        <f>"Nils S.p.A. Via Stazione 30 39014 Burgstall BZ"</f>
        <v>Nils S.p.A. Via Stazione 30 39014 Burgstall BZ</v>
      </c>
      <c r="P808" t="str">
        <f>"Z0C3158FD9: [7598.82€ ]"</f>
        <v>Z0C3158FD9: [7598.82€ ]</v>
      </c>
      <c r="Q808" t="str">
        <f>""</f>
        <v/>
      </c>
      <c r="R808" t="str">
        <f>""</f>
        <v/>
      </c>
      <c r="S808" t="str">
        <f>""</f>
        <v/>
      </c>
      <c r="T808" t="str">
        <f>"https://portaletrasparenza.consorziobacchiglione.it/dettagli/attodigara/6803/fornitura-grasso-per-mezzi-consorziali.html"</f>
        <v>https://portaletrasparenza.consorziobacchiglione.it/dettagli/attodigara/6803/fornitura-grasso-per-mezzi-consorziali.html</v>
      </c>
      <c r="U808" t="str">
        <f>"https://portaletrasparenza.consorziobacchiglione.it/download/attodigara/6803/63ac457f0aa73.PDF"</f>
        <v>https://portaletrasparenza.consorziobacchiglione.it/download/attodigara/6803/63ac457f0aa73.PDF</v>
      </c>
      <c r="V8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09" spans="1:22" x14ac:dyDescent="0.3">
      <c r="A809" t="str">
        <f>"Affidamento"</f>
        <v>Affidamento</v>
      </c>
      <c r="B809" t="str">
        <f>"Fornitura materiale vario per l'anno 2021 presso Bacino Sesta Presa"</f>
        <v>Fornitura materiale vario per l'anno 2021 presso Bacino Sesta Presa</v>
      </c>
      <c r="C809" t="str">
        <f>"Z3C3159105"</f>
        <v>Z3C3159105</v>
      </c>
      <c r="D809" t="str">
        <f>"15/04/2021"</f>
        <v>15/04/2021</v>
      </c>
      <c r="E809" t="str">
        <f>""</f>
        <v/>
      </c>
      <c r="F809" t="str">
        <f>""</f>
        <v/>
      </c>
      <c r="G809" t="str">
        <f>"6557.38"</f>
        <v>6557.38</v>
      </c>
      <c r="H809" t="str">
        <f>"Consorzio di bonifica Bacchiglione"</f>
        <v>Consorzio di bonifica Bacchiglione</v>
      </c>
      <c r="I809" t="str">
        <f>"92223390284"</f>
        <v>92223390284</v>
      </c>
      <c r="J809" t="str">
        <f>"23-AFFIDAMENTO DIRETTO"</f>
        <v>23-AFFIDAMENTO DIRETTO</v>
      </c>
      <c r="K809" t="str">
        <f>"14/04/2021"</f>
        <v>14/04/2021</v>
      </c>
      <c r="L809" t="str">
        <f>"31/12/2021"</f>
        <v>31/12/2021</v>
      </c>
      <c r="M809" t="str">
        <f>""</f>
        <v/>
      </c>
      <c r="N809" t="str">
        <f>"Idronord s.r.l. Via delle Industrie 3C 30036 Santa Maria Di Sala VE"</f>
        <v>Idronord s.r.l. Via delle Industrie 3C 30036 Santa Maria Di Sala VE</v>
      </c>
      <c r="O809" t="str">
        <f>"Idronord s.r.l. Via delle Industrie 3C 30036 Santa Maria Di Sala VE"</f>
        <v>Idronord s.r.l. Via delle Industrie 3C 30036 Santa Maria Di Sala VE</v>
      </c>
      <c r="P809" t="str">
        <f>"Z3C3159105: [2473.66€ ]"</f>
        <v>Z3C3159105: [2473.66€ ]</v>
      </c>
      <c r="Q809" t="str">
        <f>""</f>
        <v/>
      </c>
      <c r="R809" t="str">
        <f>""</f>
        <v/>
      </c>
      <c r="S809" t="str">
        <f>""</f>
        <v/>
      </c>
      <c r="T809" t="str">
        <f>"https://portaletrasparenza.consorziobacchiglione.it/dettagli/attodigara/6804/fornitura-materiale-vario-per-l-anno-2021-presso-bacino-sesta-presa.html"</f>
        <v>https://portaletrasparenza.consorziobacchiglione.it/dettagli/attodigara/6804/fornitura-materiale-vario-per-l-anno-2021-presso-bacino-sesta-presa.html</v>
      </c>
      <c r="U809" t="str">
        <f>"https://portaletrasparenza.consorziobacchiglione.it/download/attodigara/6804/63ac457f435f2.PDF"</f>
        <v>https://portaletrasparenza.consorziobacchiglione.it/download/attodigara/6804/63ac457f435f2.PDF</v>
      </c>
      <c r="V809">
        <f>(SUBSTITUTE(Tabella1[[#This Row],[Importo di aggiudicazione]],".",","))-(SUBSTITUTE(  SUBSTITUTE(          SUBSTITUTE(Tabella1[[#This Row],[Dettaglio somme liquidate]],Tabella1[[#This Row],[CIG]]&amp;": [",""),"€ ]",""),".",","))</f>
        <v>4083.7200000000003</v>
      </c>
    </row>
    <row r="810" spans="1:22" x14ac:dyDescent="0.3">
      <c r="A810" t="str">
        <f>"Affidamento"</f>
        <v>Affidamento</v>
      </c>
      <c r="B810" t="str">
        <f>"Lavori di fornitura e posa in opera di materiale inerte nel Reparto Occidentale per l'anno 2016."</f>
        <v>Lavori di fornitura e posa in opera di materiale inerte nel Reparto Occidentale per l'anno 2016.</v>
      </c>
      <c r="C810" t="str">
        <f>"66116401EE"</f>
        <v>66116401EE</v>
      </c>
      <c r="D810" t="str">
        <f>"04/11/2021"</f>
        <v>04/11/2021</v>
      </c>
      <c r="E810" t="str">
        <f>""</f>
        <v/>
      </c>
      <c r="F810" t="str">
        <f>""</f>
        <v/>
      </c>
      <c r="G810" t="str">
        <f>"96974.76"</f>
        <v>96974.76</v>
      </c>
      <c r="H810" t="str">
        <f>"Consorzio di bonifica Bacchiglione"</f>
        <v>Consorzio di bonifica Bacchiglione</v>
      </c>
      <c r="I810" t="str">
        <f>"92223390284"</f>
        <v>92223390284</v>
      </c>
      <c r="J810" t="str">
        <f>"08-AFFIDAMENTO IN ECONOMIA - COTTIMO FIDUCIARIO"</f>
        <v>08-AFFIDAMENTO IN ECONOMIA - COTTIMO FIDUCIARIO</v>
      </c>
      <c r="K810" t="str">
        <f>"14/05/2021"</f>
        <v>14/05/2021</v>
      </c>
      <c r="L810" t="str">
        <f>"31/01/2021"</f>
        <v>31/01/2021</v>
      </c>
      <c r="M810" t="str">
        <f>""</f>
        <v/>
      </c>
      <c r="N810" t="s">
        <v>72</v>
      </c>
      <c r="O810" t="str">
        <f>"Temporin s.a.s. di Temporin Giancarlo E C."</f>
        <v>Temporin s.a.s. di Temporin Giancarlo E C.</v>
      </c>
      <c r="P810" t="str">
        <f>"66116401EE: [96918.73€ ]"</f>
        <v>66116401EE: [96918.73€ ]</v>
      </c>
      <c r="Q810" t="str">
        <f>""</f>
        <v/>
      </c>
      <c r="R810" t="str">
        <f>""</f>
        <v/>
      </c>
      <c r="S810" t="str">
        <f>""</f>
        <v/>
      </c>
      <c r="T810" t="str">
        <f>"https://portaletrasparenza.consorziobacchiglione.it/dettagli/attodigara/3/lavori-di-fornitura-e-posa-in-opera-di-materiale-inerte-nel-reparto-occidentale-per-l-anno-2016.html"</f>
        <v>https://portaletrasparenza.consorziobacchiglione.it/dettagli/attodigara/3/lavori-di-fornitura-e-posa-in-opera-di-materiale-inerte-nel-reparto-occidentale-per-l-anno-2016.html</v>
      </c>
      <c r="U810" t="str">
        <f>""</f>
        <v/>
      </c>
      <c r="V810">
        <f>(SUBSTITUTE(Tabella1[[#This Row],[Importo di aggiudicazione]],".",","))-(SUBSTITUTE(  SUBSTITUTE(          SUBSTITUTE(Tabella1[[#This Row],[Dettaglio somme liquidate]],Tabella1[[#This Row],[CIG]]&amp;": [",""),"€ ]",""),".",","))</f>
        <v>56.029999999998836</v>
      </c>
    </row>
    <row r="811" spans="1:22" x14ac:dyDescent="0.3">
      <c r="A811" t="str">
        <f>"Affidamento"</f>
        <v>Affidamento</v>
      </c>
      <c r="B811" t="str">
        <f>"Fornitura di nuovo manufatto idraulico prefabbricato in cls per sistemazione della paratoia di scarico su scolo Cavaizza di Codevigo sud, fronte l'imp. Idrovoro Cambroso, a seguito del cedimento della sponda e del manufa"</f>
        <v>Fornitura di nuovo manufatto idraulico prefabbricato in cls per sistemazione della paratoia di scarico su scolo Cavaizza di Codevigo sud, fronte l'imp. Idrovoro Cambroso, a seguito del cedimento della sponda e del manufa</v>
      </c>
      <c r="C811" t="str">
        <f>"Z5031BDE61"</f>
        <v>Z5031BDE61</v>
      </c>
      <c r="D811" t="str">
        <f>"14/05/2021"</f>
        <v>14/05/2021</v>
      </c>
      <c r="E811" t="str">
        <f>""</f>
        <v/>
      </c>
      <c r="F811" t="str">
        <f>""</f>
        <v/>
      </c>
      <c r="G811" t="str">
        <f>"800.00"</f>
        <v>800.00</v>
      </c>
      <c r="H811" t="str">
        <f>"Consorzio di bonifica Bacchiglione"</f>
        <v>Consorzio di bonifica Bacchiglione</v>
      </c>
      <c r="I811" t="str">
        <f>"92223390284"</f>
        <v>92223390284</v>
      </c>
      <c r="J811" t="str">
        <f>"23-AFFIDAMENTO DIRETTO"</f>
        <v>23-AFFIDAMENTO DIRETTO</v>
      </c>
      <c r="K811" t="str">
        <f>"14/05/2021"</f>
        <v>14/05/2021</v>
      </c>
      <c r="L811" t="str">
        <f>"01/06/2021"</f>
        <v>01/06/2021</v>
      </c>
      <c r="M811" t="str">
        <f>""</f>
        <v/>
      </c>
      <c r="N811" t="str">
        <f>"Costruzioni Edili e Prefabbricate Franzin Fioravante Via Gonelle, 28 - 31040 Cessalto (TV)"</f>
        <v>Costruzioni Edili e Prefabbricate Franzin Fioravante Via Gonelle, 28 - 31040 Cessalto (TV)</v>
      </c>
      <c r="O811" t="str">
        <f>"Costruzioni Edili e Prefabbricate Franzin Fioravante Via Gonelle, 28 - 31040 Cessalto (TV)"</f>
        <v>Costruzioni Edili e Prefabbricate Franzin Fioravante Via Gonelle, 28 - 31040 Cessalto (TV)</v>
      </c>
      <c r="P811" t="str">
        <f>"Z5031BDE61: [800.00€ ]"</f>
        <v>Z5031BDE61: [800.00€ ]</v>
      </c>
      <c r="Q811" t="str">
        <f>""</f>
        <v/>
      </c>
      <c r="R811" t="str">
        <f>""</f>
        <v/>
      </c>
      <c r="S811" t="str">
        <f>""</f>
        <v/>
      </c>
      <c r="T811" t="s">
        <v>103</v>
      </c>
      <c r="U811" t="str">
        <f>"https://portaletrasparenza.consorziobacchiglione.it/download/attodigara/6879/63ac458c48758.PDF"</f>
        <v>https://portaletrasparenza.consorziobacchiglione.it/download/attodigara/6879/63ac458c48758.PDF</v>
      </c>
      <c r="V81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12" spans="1:22" x14ac:dyDescent="0.3">
      <c r="A812" t="str">
        <f>"Affidamento"</f>
        <v>Affidamento</v>
      </c>
      <c r="B812" t="str">
        <f>"Fornitura decespugliatore Husqvarna mod.HVA233RJ per Bacino Sesta Presa"</f>
        <v>Fornitura decespugliatore Husqvarna mod.HVA233RJ per Bacino Sesta Presa</v>
      </c>
      <c r="C812" t="str">
        <f>"Z6931BCC9B"</f>
        <v>Z6931BCC9B</v>
      </c>
      <c r="D812" t="str">
        <f>"14/05/2021"</f>
        <v>14/05/2021</v>
      </c>
      <c r="E812" t="str">
        <f>""</f>
        <v/>
      </c>
      <c r="F812" t="str">
        <f>""</f>
        <v/>
      </c>
      <c r="G812" t="str">
        <f>"320.00"</f>
        <v>320.00</v>
      </c>
      <c r="H812" t="str">
        <f>"Consorzio di bonifica Bacchiglione"</f>
        <v>Consorzio di bonifica Bacchiglione</v>
      </c>
      <c r="I812" t="str">
        <f>"92223390284"</f>
        <v>92223390284</v>
      </c>
      <c r="J812" t="str">
        <f>"23-AFFIDAMENTO DIRETTO"</f>
        <v>23-AFFIDAMENTO DIRETTO</v>
      </c>
      <c r="K812" t="str">
        <f>"14/05/2021"</f>
        <v>14/05/2021</v>
      </c>
      <c r="L812" t="str">
        <f>"31/12/2021"</f>
        <v>31/12/2021</v>
      </c>
      <c r="M812" t="str">
        <f>""</f>
        <v/>
      </c>
      <c r="N812" t="str">
        <f>"Gaiani Rino SAS di Gaiani Annalisa E C.Via Antoniana 102 35011 Campodarsego PD"</f>
        <v>Gaiani Rino SAS di Gaiani Annalisa E C.Via Antoniana 102 35011 Campodarsego PD</v>
      </c>
      <c r="O812" t="str">
        <f>"Gaiani Rino SAS di Gaiani Annalisa E C.Via Antoniana 102 35011 Campodarsego PD"</f>
        <v>Gaiani Rino SAS di Gaiani Annalisa E C.Via Antoniana 102 35011 Campodarsego PD</v>
      </c>
      <c r="P812" t="str">
        <f>"Z6931BCC9B: [320.00€ ]"</f>
        <v>Z6931BCC9B: [320.00€ ]</v>
      </c>
      <c r="Q812" t="str">
        <f>""</f>
        <v/>
      </c>
      <c r="R812" t="str">
        <f>""</f>
        <v/>
      </c>
      <c r="S812" t="str">
        <f>""</f>
        <v/>
      </c>
      <c r="T812" t="str">
        <f>"https://portaletrasparenza.consorziobacchiglione.it/dettagli/attodigara/6878/fornitura-decespugliatore-husqvarna-mod-hva233rj-per-bacino-sesta-presa.html"</f>
        <v>https://portaletrasparenza.consorziobacchiglione.it/dettagli/attodigara/6878/fornitura-decespugliatore-husqvarna-mod-hva233rj-per-bacino-sesta-presa.html</v>
      </c>
      <c r="U812" t="str">
        <f>"https://portaletrasparenza.consorziobacchiglione.it/download/attodigara/6878/63ac458c0fbba.PDF"</f>
        <v>https://portaletrasparenza.consorziobacchiglione.it/download/attodigara/6878/63ac458c0fbba.PDF</v>
      </c>
      <c r="V8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13" spans="1:22" x14ac:dyDescent="0.3">
      <c r="A813" t="str">
        <f>"Affidamento"</f>
        <v>Affidamento</v>
      </c>
      <c r="B813" t="str">
        <f>"Recupero trattore Energreen targato: AKB015 in località Campagna Lupia"</f>
        <v>Recupero trattore Energreen targato: AKB015 in località Campagna Lupia</v>
      </c>
      <c r="C813" t="str">
        <f>"ZB031BC836"</f>
        <v>ZB031BC836</v>
      </c>
      <c r="D813" t="str">
        <f>"14/05/2021"</f>
        <v>14/05/2021</v>
      </c>
      <c r="E813" t="str">
        <f>""</f>
        <v/>
      </c>
      <c r="F813" t="str">
        <f>""</f>
        <v/>
      </c>
      <c r="G813" t="str">
        <f>"500.00"</f>
        <v>500.00</v>
      </c>
      <c r="H813" t="str">
        <f>"Consorzio di bonifica Bacchiglione"</f>
        <v>Consorzio di bonifica Bacchiglione</v>
      </c>
      <c r="I813" t="str">
        <f>"92223390284"</f>
        <v>92223390284</v>
      </c>
      <c r="J813" t="str">
        <f>"23-AFFIDAMENTO DIRETTO"</f>
        <v>23-AFFIDAMENTO DIRETTO</v>
      </c>
      <c r="K813" t="str">
        <f>"14/05/2021"</f>
        <v>14/05/2021</v>
      </c>
      <c r="L813" t="str">
        <f>"03/06/2021"</f>
        <v>03/06/2021</v>
      </c>
      <c r="M813" t="str">
        <f>""</f>
        <v/>
      </c>
      <c r="N813" t="str">
        <f>"Carrozzeria Biasion S.N.C. Via Bassa 45 35020 Arzergrande PD"</f>
        <v>Carrozzeria Biasion S.N.C. Via Bassa 45 35020 Arzergrande PD</v>
      </c>
      <c r="O813" t="str">
        <f>"Carrozzeria Biasion S.N.C. Via Bassa 45 35020 Arzergrande PD"</f>
        <v>Carrozzeria Biasion S.N.C. Via Bassa 45 35020 Arzergrande PD</v>
      </c>
      <c r="P813" t="str">
        <f>"ZB031BC836: [500.00€ ]"</f>
        <v>ZB031BC836: [500.00€ ]</v>
      </c>
      <c r="Q813" t="str">
        <f>""</f>
        <v/>
      </c>
      <c r="R813" t="str">
        <f>""</f>
        <v/>
      </c>
      <c r="S813" t="str">
        <f>""</f>
        <v/>
      </c>
      <c r="T813" t="str">
        <f>"https://portaletrasparenza.consorziobacchiglione.it/dettagli/attodigara/6877/recupero-trattore-energreen-targato-akb015-in-localita-campagna-lupia.html"</f>
        <v>https://portaletrasparenza.consorziobacchiglione.it/dettagli/attodigara/6877/recupero-trattore-energreen-targato-akb015-in-localita-campagna-lupia.html</v>
      </c>
      <c r="U813" t="str">
        <f>"https://portaletrasparenza.consorziobacchiglione.it/download/attodigara/6877/63ac458bcb5e1.PDF"</f>
        <v>https://portaletrasparenza.consorziobacchiglione.it/download/attodigara/6877/63ac458bcb5e1.PDF</v>
      </c>
      <c r="V8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14" spans="1:22" x14ac:dyDescent="0.3">
      <c r="A814" t="str">
        <f>"Affidamento"</f>
        <v>Affidamento</v>
      </c>
      <c r="B814" t="str">
        <f>"Manutenzione e riparazione mezzi targati: ALE158, AJP870, AKD221"</f>
        <v>Manutenzione e riparazione mezzi targati: ALE158, AJP870, AKD221</v>
      </c>
      <c r="C814" t="str">
        <f>"ZB931BC3C6"</f>
        <v>ZB931BC3C6</v>
      </c>
      <c r="D814" t="str">
        <f>"14/05/2021"</f>
        <v>14/05/2021</v>
      </c>
      <c r="E814" t="str">
        <f>""</f>
        <v/>
      </c>
      <c r="F814" t="str">
        <f>""</f>
        <v/>
      </c>
      <c r="G814" t="str">
        <f>"9001.05"</f>
        <v>9001.05</v>
      </c>
      <c r="H814" t="str">
        <f>"Consorzio di bonifica Bacchiglione"</f>
        <v>Consorzio di bonifica Bacchiglione</v>
      </c>
      <c r="I814" t="str">
        <f>"92223390284"</f>
        <v>92223390284</v>
      </c>
      <c r="J814" t="str">
        <f>"23-AFFIDAMENTO DIRETTO"</f>
        <v>23-AFFIDAMENTO DIRETTO</v>
      </c>
      <c r="K814" t="str">
        <f>"14/05/2021"</f>
        <v>14/05/2021</v>
      </c>
      <c r="L814" t="str">
        <f>"04/06/2021"</f>
        <v>04/06/2021</v>
      </c>
      <c r="M814" t="str">
        <f>""</f>
        <v/>
      </c>
      <c r="N814" t="str">
        <f>"Adriatica Commerciale Macchine s.r.l. Via dell'Artigianato 5 35020 Due Carrare PD"</f>
        <v>Adriatica Commerciale Macchine s.r.l. Via dell'Artigianato 5 35020 Due Carrare PD</v>
      </c>
      <c r="O814" t="str">
        <f>"Adriatica Commerciale Macchine s.r.l. Via dell'Artigianato 5 35020 Due Carrare PD"</f>
        <v>Adriatica Commerciale Macchine s.r.l. Via dell'Artigianato 5 35020 Due Carrare PD</v>
      </c>
      <c r="P814" t="str">
        <f>"ZB931BC3C6: [9001.05€ ]"</f>
        <v>ZB931BC3C6: [9001.05€ ]</v>
      </c>
      <c r="Q814" t="str">
        <f>""</f>
        <v/>
      </c>
      <c r="R814" t="str">
        <f>""</f>
        <v/>
      </c>
      <c r="S814" t="str">
        <f>""</f>
        <v/>
      </c>
      <c r="T814" t="str">
        <f>"https://portaletrasparenza.consorziobacchiglione.it/dettagli/attodigara/6876/manutenzione-e-riparazione-mezzi-targati-ale158-ajp870-akd221.html"</f>
        <v>https://portaletrasparenza.consorziobacchiglione.it/dettagli/attodigara/6876/manutenzione-e-riparazione-mezzi-targati-ale158-ajp870-akd221.html</v>
      </c>
      <c r="U814" t="str">
        <f>"https://portaletrasparenza.consorziobacchiglione.it/download/attodigara/6876/63ac458b92d1a.PDF"</f>
        <v>https://portaletrasparenza.consorziobacchiglione.it/download/attodigara/6876/63ac458b92d1a.PDF</v>
      </c>
      <c r="V81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15" spans="1:22" x14ac:dyDescent="0.3">
      <c r="A815" t="str">
        <f>"Affidamento"</f>
        <v>Affidamento</v>
      </c>
      <c r="B815" t="str">
        <f>"ID 013-19 Miglioramento del deflusso degli scoli Boracchia e Inferiore di Terranegra. Realizzazione nuovo sostegno su manufatto di by pass presso lo scolo Boracchia"</f>
        <v>ID 013-19 Miglioramento del deflusso degli scoli Boracchia e Inferiore di Terranegra. Realizzazione nuovo sostegno su manufatto di by pass presso lo scolo Boracchia</v>
      </c>
      <c r="C815" t="str">
        <f>"Z3832190BB"</f>
        <v>Z3832190BB</v>
      </c>
      <c r="D815" t="str">
        <f>"14/06/2021"</f>
        <v>14/06/2021</v>
      </c>
      <c r="E815" t="str">
        <f>""</f>
        <v/>
      </c>
      <c r="F815" t="str">
        <f>""</f>
        <v/>
      </c>
      <c r="G815" t="str">
        <f>"11896.00"</f>
        <v>11896.00</v>
      </c>
      <c r="H815" t="str">
        <f>"Consorzio di bonifica Bacchiglione"</f>
        <v>Consorzio di bonifica Bacchiglione</v>
      </c>
      <c r="I815" t="str">
        <f>"92223390284"</f>
        <v>92223390284</v>
      </c>
      <c r="J815" t="str">
        <f>"23-AFFIDAMENTO DIRETTO"</f>
        <v>23-AFFIDAMENTO DIRETTO</v>
      </c>
      <c r="K815" t="str">
        <f>"14/06/2021"</f>
        <v>14/06/2021</v>
      </c>
      <c r="L815" t="str">
        <f>"05/11/2021"</f>
        <v>05/11/2021</v>
      </c>
      <c r="M815" t="str">
        <f>""</f>
        <v/>
      </c>
      <c r="N815" t="str">
        <f>"GV Carpenteria"</f>
        <v>GV Carpenteria</v>
      </c>
      <c r="O815" t="str">
        <f>"GV Carpenteria"</f>
        <v>GV Carpenteria</v>
      </c>
      <c r="P815" t="s">
        <v>159</v>
      </c>
      <c r="Q815" t="str">
        <f>""</f>
        <v/>
      </c>
      <c r="R815" t="str">
        <f>""</f>
        <v/>
      </c>
      <c r="S815" t="str">
        <f>""</f>
        <v/>
      </c>
      <c r="T815" t="str">
        <f>"https://portaletrasparenza.consorziobacchiglione.it/dettagli/attodigara/6943/id-013-19-miglioramento-del-deflusso-degli-scoli-boracchia-e-inferiore-di-terranegra-realizzazione-nuovo-sostegno-su-manufatto-di-by-pass-presso-lo-scolo-boracchia.html"</f>
        <v>https://portaletrasparenza.consorziobacchiglione.it/dettagli/attodigara/6943/id-013-19-miglioramento-del-deflusso-degli-scoli-boracchia-e-inferiore-di-terranegra-realizzazione-nuovo-sostegno-su-manufatto-di-by-pass-presso-lo-scolo-boracchia.html</v>
      </c>
      <c r="U815" t="str">
        <f>"https://portaletrasparenza.consorziobacchiglione.it/download/attodigara/6943/63ac4598b3907.PDF"</f>
        <v>https://portaletrasparenza.consorziobacchiglione.it/download/attodigara/6943/63ac4598b3907.PDF</v>
      </c>
      <c r="V81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16" spans="1:22" x14ac:dyDescent="0.3">
      <c r="A816" t="str">
        <f>"Affidamento"</f>
        <v>Affidamento</v>
      </c>
      <c r="B816" t="str">
        <f>"Fornitura materiale vario per personale di campagna"</f>
        <v>Fornitura materiale vario per personale di campagna</v>
      </c>
      <c r="C816" t="str">
        <f>"Z59321B514"</f>
        <v>Z59321B514</v>
      </c>
      <c r="D816" t="str">
        <f>"15/06/2021"</f>
        <v>15/06/2021</v>
      </c>
      <c r="E816" t="str">
        <f>""</f>
        <v/>
      </c>
      <c r="F816" t="str">
        <f>""</f>
        <v/>
      </c>
      <c r="G816" t="str">
        <f>"7523.00"</f>
        <v>7523.00</v>
      </c>
      <c r="H816" t="str">
        <f>"Consorzio di bonifica Bacchiglione"</f>
        <v>Consorzio di bonifica Bacchiglione</v>
      </c>
      <c r="I816" t="str">
        <f>"92223390284"</f>
        <v>92223390284</v>
      </c>
      <c r="J816" t="str">
        <f>"23-AFFIDAMENTO DIRETTO"</f>
        <v>23-AFFIDAMENTO DIRETTO</v>
      </c>
      <c r="K816" t="str">
        <f>"14/06/2021"</f>
        <v>14/06/2021</v>
      </c>
      <c r="L816" t="str">
        <f>"24/06/2021"</f>
        <v>24/06/2021</v>
      </c>
      <c r="M816" t="str">
        <f>""</f>
        <v/>
      </c>
      <c r="N816" t="str">
        <f>"Chinello antinfortunistica via Padana 34 Z.I. Vigorovea di S.Angelo di Piove di Sacco PD"</f>
        <v>Chinello antinfortunistica via Padana 34 Z.I. Vigorovea di S.Angelo di Piove di Sacco PD</v>
      </c>
      <c r="O816" t="str">
        <f>"Chinello antinfortunistica via Padana 34 Z.I. Vigorovea di S.Angelo di Piove di Sacco PD"</f>
        <v>Chinello antinfortunistica via Padana 34 Z.I. Vigorovea di S.Angelo di Piove di Sacco PD</v>
      </c>
      <c r="P816" t="str">
        <f>"Z59321B514: [7523.00€ ]"</f>
        <v>Z59321B514: [7523.00€ ]</v>
      </c>
      <c r="Q816" t="str">
        <f>""</f>
        <v/>
      </c>
      <c r="R816" t="str">
        <f>""</f>
        <v/>
      </c>
      <c r="S816" t="str">
        <f>""</f>
        <v/>
      </c>
      <c r="T816" t="str">
        <f>"https://portaletrasparenza.consorziobacchiglione.it/dettagli/attodigara/6945/fornitura-materiale-vario-per-personale-di-campagna.html"</f>
        <v>https://portaletrasparenza.consorziobacchiglione.it/dettagli/attodigara/6945/fornitura-materiale-vario-per-personale-di-campagna.html</v>
      </c>
      <c r="U816" t="str">
        <f>"https://portaletrasparenza.consorziobacchiglione.it/download/attodigara/6945/63ac459a215cb.PDF"</f>
        <v>https://portaletrasparenza.consorziobacchiglione.it/download/attodigara/6945/63ac459a215cb.PDF</v>
      </c>
      <c r="V81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17" spans="1:22" x14ac:dyDescent="0.3">
      <c r="A817" t="str">
        <f>"Affidamento"</f>
        <v>Affidamento</v>
      </c>
      <c r="B817" t="str">
        <f>"Manutenzione e riparazione mezzo con targa: AKS681"</f>
        <v>Manutenzione e riparazione mezzo con targa: AKS681</v>
      </c>
      <c r="C817" t="str">
        <f>"Z0F3219C3B"</f>
        <v>Z0F3219C3B</v>
      </c>
      <c r="D817" t="str">
        <f>"15/06/2021"</f>
        <v>15/06/2021</v>
      </c>
      <c r="E817" t="str">
        <f>""</f>
        <v/>
      </c>
      <c r="F817" t="str">
        <f>""</f>
        <v/>
      </c>
      <c r="G817" t="str">
        <f>"1083.00"</f>
        <v>1083.00</v>
      </c>
      <c r="H817" t="str">
        <f>"Consorzio di bonifica Bacchiglione"</f>
        <v>Consorzio di bonifica Bacchiglione</v>
      </c>
      <c r="I817" t="str">
        <f>"92223390284"</f>
        <v>92223390284</v>
      </c>
      <c r="J817" t="str">
        <f>"23-AFFIDAMENTO DIRETTO"</f>
        <v>23-AFFIDAMENTO DIRETTO</v>
      </c>
      <c r="K817" t="str">
        <f>"14/06/2021"</f>
        <v>14/06/2021</v>
      </c>
      <c r="L817" t="str">
        <f>"28/06/2021"</f>
        <v>28/06/2021</v>
      </c>
      <c r="M817" t="str">
        <f>""</f>
        <v/>
      </c>
      <c r="N817" t="str">
        <f>"Officina Biesse S.n.c. Via Matteotti 24 35020 Arzergrande PD"</f>
        <v>Officina Biesse S.n.c. Via Matteotti 24 35020 Arzergrande PD</v>
      </c>
      <c r="O817" t="str">
        <f>"Officina Biesse S.n.c. Via Matteotti 24 35020 Arzergrande PD"</f>
        <v>Officina Biesse S.n.c. Via Matteotti 24 35020 Arzergrande PD</v>
      </c>
      <c r="P817" t="str">
        <f>"Z0F3219C3B: [1083.00€ ]"</f>
        <v>Z0F3219C3B: [1083.00€ ]</v>
      </c>
      <c r="Q817" t="str">
        <f>""</f>
        <v/>
      </c>
      <c r="R817" t="str">
        <f>""</f>
        <v/>
      </c>
      <c r="S817" t="str">
        <f>""</f>
        <v/>
      </c>
      <c r="T817" t="str">
        <f>"https://portaletrasparenza.consorziobacchiglione.it/dettagli/attodigara/6944/manutenzione-e-riparazione-mezzo-con-targa-aks681.html"</f>
        <v>https://portaletrasparenza.consorziobacchiglione.it/dettagli/attodigara/6944/manutenzione-e-riparazione-mezzo-con-targa-aks681.html</v>
      </c>
      <c r="U817" t="str">
        <f>"https://portaletrasparenza.consorziobacchiglione.it/download/attodigara/6944/63ac4599dc8d8.PDF"</f>
        <v>https://portaletrasparenza.consorziobacchiglione.it/download/attodigara/6944/63ac4599dc8d8.PDF</v>
      </c>
      <c r="V81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18" spans="1:22" x14ac:dyDescent="0.3">
      <c r="A818" t="str">
        <f>"Affidamento"</f>
        <v>Affidamento</v>
      </c>
      <c r="B818" t="str">
        <f>"Manutenzione e riparazione mezzo con targa: CB933XY."</f>
        <v>Manutenzione e riparazione mezzo con targa: CB933XY.</v>
      </c>
      <c r="C818" t="str">
        <f>"Z3D1AA5F70"</f>
        <v>Z3D1AA5F70</v>
      </c>
      <c r="D818" t="str">
        <f>"04/11/2021"</f>
        <v>04/11/2021</v>
      </c>
      <c r="E818" t="str">
        <f>""</f>
        <v/>
      </c>
      <c r="F818" t="str">
        <f>""</f>
        <v/>
      </c>
      <c r="G818" t="str">
        <f>"92.30"</f>
        <v>92.30</v>
      </c>
      <c r="H818" t="str">
        <f>"Consorzio di bonifica Bacchiglione"</f>
        <v>Consorzio di bonifica Bacchiglione</v>
      </c>
      <c r="I818" t="str">
        <f>"92223390284"</f>
        <v>92223390284</v>
      </c>
      <c r="J818" t="str">
        <f>"23-AFFIDAMENTO DIRETTO"</f>
        <v>23-AFFIDAMENTO DIRETTO</v>
      </c>
      <c r="K818" t="str">
        <f>"14/07/2021"</f>
        <v>14/07/2021</v>
      </c>
      <c r="L818" t="str">
        <f>"10/08/2021"</f>
        <v>10/08/2021</v>
      </c>
      <c r="M818" t="str">
        <f>""</f>
        <v/>
      </c>
      <c r="N818" t="str">
        <f>"Elettrodiesel Peruzzo s.r.l. Via Tevere 30 35135 Padova"</f>
        <v>Elettrodiesel Peruzzo s.r.l. Via Tevere 30 35135 Padova</v>
      </c>
      <c r="O818" t="str">
        <f>"Elettrodiesel Peruzzo s.r.l. Via Tevere 30 35135 Padova"</f>
        <v>Elettrodiesel Peruzzo s.r.l. Via Tevere 30 35135 Padova</v>
      </c>
      <c r="P818" t="str">
        <f>"Z3D1AA5F70: [92.30€ ]"</f>
        <v>Z3D1AA5F70: [92.30€ ]</v>
      </c>
      <c r="Q818" t="str">
        <f>""</f>
        <v/>
      </c>
      <c r="R818" t="str">
        <f>""</f>
        <v/>
      </c>
      <c r="S818" t="str">
        <f>""</f>
        <v/>
      </c>
      <c r="T818" t="str">
        <f>"https://portaletrasparenza.consorziobacchiglione.it/dettagli/attodigara/590/manutenzione-e-riparazione-mezzo-con-targa-cb933xy.html"</f>
        <v>https://portaletrasparenza.consorziobacchiglione.it/dettagli/attodigara/590/manutenzione-e-riparazione-mezzo-con-targa-cb933xy.html</v>
      </c>
      <c r="U818" t="str">
        <f>""</f>
        <v/>
      </c>
      <c r="V81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19" spans="1:22" x14ac:dyDescent="0.3">
      <c r="A819" t="str">
        <f>"Affidamento"</f>
        <v>Affidamento</v>
      </c>
      <c r="B819" t="str">
        <f>"Riparazione e manutenzione mezzi con targa: DS716AA, EP107XC, DA564ZE."</f>
        <v>Riparazione e manutenzione mezzi con targa: DS716AA, EP107XC, DA564ZE.</v>
      </c>
      <c r="C819" t="str">
        <f>"Z251AA5EDA"</f>
        <v>Z251AA5EDA</v>
      </c>
      <c r="D819" t="str">
        <f>"04/11/2021"</f>
        <v>04/11/2021</v>
      </c>
      <c r="E819" t="str">
        <f>""</f>
        <v/>
      </c>
      <c r="F819" t="str">
        <f>""</f>
        <v/>
      </c>
      <c r="G819" t="str">
        <f>"785.30"</f>
        <v>785.30</v>
      </c>
      <c r="H819" t="str">
        <f>"Consorzio di bonifica Bacchiglione"</f>
        <v>Consorzio di bonifica Bacchiglione</v>
      </c>
      <c r="I819" t="str">
        <f>"92223390284"</f>
        <v>92223390284</v>
      </c>
      <c r="J819" t="str">
        <f>"23-AFFIDAMENTO DIRETTO"</f>
        <v>23-AFFIDAMENTO DIRETTO</v>
      </c>
      <c r="K819" t="str">
        <f>"14/07/2021"</f>
        <v>14/07/2021</v>
      </c>
      <c r="L819" t="str">
        <f>"10/08/2021"</f>
        <v>10/08/2021</v>
      </c>
      <c r="M819" t="str">
        <f>""</f>
        <v/>
      </c>
      <c r="N819" t="str">
        <f>"Mardegan F.lli s.n.c. Via Argine Destro 13A 35020 Brenta di Correzzola PD"</f>
        <v>Mardegan F.lli s.n.c. Via Argine Destro 13A 35020 Brenta di Correzzola PD</v>
      </c>
      <c r="O819" t="str">
        <f>"Mardegan F.lli s.n.c. Via Argine Destro 13A 35020 Brenta di Correzzola PD"</f>
        <v>Mardegan F.lli s.n.c. Via Argine Destro 13A 35020 Brenta di Correzzola PD</v>
      </c>
      <c r="P819" t="str">
        <f>"Z251AA5EDA: [785.30€ ]"</f>
        <v>Z251AA5EDA: [785.30€ ]</v>
      </c>
      <c r="Q819" t="str">
        <f>""</f>
        <v/>
      </c>
      <c r="R819" t="str">
        <f>""</f>
        <v/>
      </c>
      <c r="S819" t="str">
        <f>""</f>
        <v/>
      </c>
      <c r="T819" t="str">
        <f>"https://portaletrasparenza.consorziobacchiglione.it/dettagli/attodigara/589/riparazione-e-manutenzione-mezzi-con-targa-ds716aa-ep107xc-da564ze.html"</f>
        <v>https://portaletrasparenza.consorziobacchiglione.it/dettagli/attodigara/589/riparazione-e-manutenzione-mezzi-con-targa-ds716aa-ep107xc-da564ze.html</v>
      </c>
      <c r="U819" t="str">
        <f>""</f>
        <v/>
      </c>
      <c r="V81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20" spans="1:22" x14ac:dyDescent="0.3">
      <c r="A820" t="str">
        <f>"Affidamento"</f>
        <v>Affidamento</v>
      </c>
      <c r="B820" t="str">
        <f>"Riparazione e manutenzione mezzi con targa: AKA712, PDAF480, AJP870, cingolato 904."</f>
        <v>Riparazione e manutenzione mezzi con targa: AKA712, PDAF480, AJP870, cingolato 904.</v>
      </c>
      <c r="C820" t="str">
        <f>"ZD91AA5E58"</f>
        <v>ZD91AA5E58</v>
      </c>
      <c r="D820" t="str">
        <f>"04/11/2021"</f>
        <v>04/11/2021</v>
      </c>
      <c r="E820" t="str">
        <f>""</f>
        <v/>
      </c>
      <c r="F820" t="str">
        <f>""</f>
        <v/>
      </c>
      <c r="G820" t="str">
        <f>"2671.47"</f>
        <v>2671.47</v>
      </c>
      <c r="H820" t="str">
        <f>"Consorzio di bonifica Bacchiglione"</f>
        <v>Consorzio di bonifica Bacchiglione</v>
      </c>
      <c r="I820" t="str">
        <f>"92223390284"</f>
        <v>92223390284</v>
      </c>
      <c r="J820" t="str">
        <f>"23-AFFIDAMENTO DIRETTO"</f>
        <v>23-AFFIDAMENTO DIRETTO</v>
      </c>
      <c r="K820" t="str">
        <f>"14/07/2021"</f>
        <v>14/07/2021</v>
      </c>
      <c r="L820" t="str">
        <f>"06/09/2021"</f>
        <v>06/09/2021</v>
      </c>
      <c r="M820" t="str">
        <f>""</f>
        <v/>
      </c>
      <c r="N820" t="str">
        <f>"Adriatica Commerciale Macchine s.r.l. Via dell'Artigianato 5 35020 Due Carrare PD"</f>
        <v>Adriatica Commerciale Macchine s.r.l. Via dell'Artigianato 5 35020 Due Carrare PD</v>
      </c>
      <c r="O820" t="str">
        <f>"Adriatica Commerciale Macchine s.r.l. Via dell'Artigianato 5 35020 Due Carrare PD"</f>
        <v>Adriatica Commerciale Macchine s.r.l. Via dell'Artigianato 5 35020 Due Carrare PD</v>
      </c>
      <c r="P820" t="str">
        <f>"ZD91AA5E58: [2671.47€ ]"</f>
        <v>ZD91AA5E58: [2671.47€ ]</v>
      </c>
      <c r="Q820" t="str">
        <f>""</f>
        <v/>
      </c>
      <c r="R820" t="str">
        <f>""</f>
        <v/>
      </c>
      <c r="S820" t="str">
        <f>""</f>
        <v/>
      </c>
      <c r="T820" t="str">
        <f>"https://portaletrasparenza.consorziobacchiglione.it/dettagli/attodigara/588/riparazione-e-manutenzione-mezzi-con-targa-aka712-pdaf480-ajp870-cingolato-904.html"</f>
        <v>https://portaletrasparenza.consorziobacchiglione.it/dettagli/attodigara/588/riparazione-e-manutenzione-mezzi-con-targa-aka712-pdaf480-ajp870-cingolato-904.html</v>
      </c>
      <c r="U820" t="str">
        <f>""</f>
        <v/>
      </c>
      <c r="V82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21" spans="1:22" x14ac:dyDescent="0.3">
      <c r="A821" t="str">
        <f>"Affidamento"</f>
        <v>Affidamento</v>
      </c>
      <c r="B821" t="str">
        <f>"Controllo annuale gru con rilascio scheda su mezzo con targa: DN881SC e manutenzione gru su mezzo con targa : DA564ZE."</f>
        <v>Controllo annuale gru con rilascio scheda su mezzo con targa: DN881SC e manutenzione gru su mezzo con targa : DA564ZE.</v>
      </c>
      <c r="C821" t="str">
        <f>"Z321AA5D74"</f>
        <v>Z321AA5D74</v>
      </c>
      <c r="D821" t="str">
        <f>"04/11/2021"</f>
        <v>04/11/2021</v>
      </c>
      <c r="E821" t="str">
        <f>""</f>
        <v/>
      </c>
      <c r="F821" t="str">
        <f>""</f>
        <v/>
      </c>
      <c r="G821" t="str">
        <f>"859.00"</f>
        <v>859.00</v>
      </c>
      <c r="H821" t="str">
        <f>"Consorzio di bonifica Bacchiglione"</f>
        <v>Consorzio di bonifica Bacchiglione</v>
      </c>
      <c r="I821" t="str">
        <f>"92223390284"</f>
        <v>92223390284</v>
      </c>
      <c r="J821" t="str">
        <f>"23-AFFIDAMENTO DIRETTO"</f>
        <v>23-AFFIDAMENTO DIRETTO</v>
      </c>
      <c r="K821" t="str">
        <f>"14/07/2021"</f>
        <v>14/07/2021</v>
      </c>
      <c r="L821" t="str">
        <f>"26/08/2021"</f>
        <v>26/08/2021</v>
      </c>
      <c r="M821" t="str">
        <f>""</f>
        <v/>
      </c>
      <c r="N821" t="str">
        <f>"Moressa s.r.l. Via Cuccara 2 35020 Due Carrare PD"</f>
        <v>Moressa s.r.l. Via Cuccara 2 35020 Due Carrare PD</v>
      </c>
      <c r="O821" t="str">
        <f>"Moressa s.r.l. Via Cuccara 2 35020 Due Carrare PD"</f>
        <v>Moressa s.r.l. Via Cuccara 2 35020 Due Carrare PD</v>
      </c>
      <c r="P821" t="str">
        <f>"Z321AA5D74: [859.00€ ]"</f>
        <v>Z321AA5D74: [859.00€ ]</v>
      </c>
      <c r="Q821" t="str">
        <f>""</f>
        <v/>
      </c>
      <c r="R821" t="str">
        <f>""</f>
        <v/>
      </c>
      <c r="S821" t="str">
        <f>""</f>
        <v/>
      </c>
      <c r="T821" t="str">
        <f>"https://portaletrasparenza.consorziobacchiglione.it/dettagli/attodigara/587/controllo-annuale-gru-con-rilascio-scheda-su-mezzo-con-targa-dn881sc-e-manutenzione-gru-su-mezzo-con-targa-da564ze.html"</f>
        <v>https://portaletrasparenza.consorziobacchiglione.it/dettagli/attodigara/587/controllo-annuale-gru-con-rilascio-scheda-su-mezzo-con-targa-dn881sc-e-manutenzione-gru-su-mezzo-con-targa-da564ze.html</v>
      </c>
      <c r="U821" t="str">
        <f>""</f>
        <v/>
      </c>
      <c r="V8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22" spans="1:22" x14ac:dyDescent="0.3">
      <c r="A822" t="str">
        <f>"Affidamento"</f>
        <v>Affidamento</v>
      </c>
      <c r="B822" t="str">
        <f>"Lavori di sfalcio erba sommità arginali scolo Orsaro e Cornio di Campagna Lupia."</f>
        <v>Lavori di sfalcio erba sommità arginali scolo Orsaro e Cornio di Campagna Lupia.</v>
      </c>
      <c r="C822" t="str">
        <f>"ZD41AA3D9F"</f>
        <v>ZD41AA3D9F</v>
      </c>
      <c r="D822" t="str">
        <f>"04/11/2021"</f>
        <v>04/11/2021</v>
      </c>
      <c r="E822" t="str">
        <f>""</f>
        <v/>
      </c>
      <c r="F822" t="str">
        <f>""</f>
        <v/>
      </c>
      <c r="G822" t="str">
        <f>"1000.00"</f>
        <v>1000.00</v>
      </c>
      <c r="H822" t="str">
        <f>"Consorzio di bonifica Bacchiglione"</f>
        <v>Consorzio di bonifica Bacchiglione</v>
      </c>
      <c r="I822" t="str">
        <f>"92223390284"</f>
        <v>92223390284</v>
      </c>
      <c r="J822" t="str">
        <f>"23-AFFIDAMENTO DIRETTO"</f>
        <v>23-AFFIDAMENTO DIRETTO</v>
      </c>
      <c r="K822" t="str">
        <f>"14/07/2021"</f>
        <v>14/07/2021</v>
      </c>
      <c r="L822" t="str">
        <f>"01/08/2021"</f>
        <v>01/08/2021</v>
      </c>
      <c r="M822" t="str">
        <f>""</f>
        <v/>
      </c>
      <c r="N822" t="str">
        <f>"Viale Valter Via 1° Maggio 124 30010 Campagna Lupia VE | Viale Nicola Via S.Marco 29 30010 Campagna Lupia VE"</f>
        <v>Viale Valter Via 1° Maggio 124 30010 Campagna Lupia VE | Viale Nicola Via S.Marco 29 30010 Campagna Lupia VE</v>
      </c>
      <c r="O822" t="str">
        <f>"Viale Valter Via 1° Maggio 124 30010 Campagna Lupia VE"</f>
        <v>Viale Valter Via 1° Maggio 124 30010 Campagna Lupia VE</v>
      </c>
      <c r="P822" t="str">
        <f>"ZD41AA3D9F: [1000.00€ ]"</f>
        <v>ZD41AA3D9F: [1000.00€ ]</v>
      </c>
      <c r="Q822" t="str">
        <f>""</f>
        <v/>
      </c>
      <c r="R822" t="str">
        <f>""</f>
        <v/>
      </c>
      <c r="S822" t="str">
        <f>""</f>
        <v/>
      </c>
      <c r="T822" t="str">
        <f>"https://portaletrasparenza.consorziobacchiglione.it/dettagli/attodigara/585/lavori-di-sfalcio-erba-sommita-arginali-scolo-orsaro-e-cornio-di-campagna-lupia.html"</f>
        <v>https://portaletrasparenza.consorziobacchiglione.it/dettagli/attodigara/585/lavori-di-sfalcio-erba-sommita-arginali-scolo-orsaro-e-cornio-di-campagna-lupia.html</v>
      </c>
      <c r="U822" t="str">
        <f>""</f>
        <v/>
      </c>
      <c r="V8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23" spans="1:22" x14ac:dyDescent="0.3">
      <c r="A823" t="str">
        <f>"Affidamento"</f>
        <v>Affidamento</v>
      </c>
      <c r="B823" t="str">
        <f>"Riparazione e manutenzione mezzo con targa: DA203YW."</f>
        <v>Riparazione e manutenzione mezzo con targa: DA203YW.</v>
      </c>
      <c r="C823" t="str">
        <f>"Z2C1AA192A"</f>
        <v>Z2C1AA192A</v>
      </c>
      <c r="D823" t="str">
        <f>"04/11/2021"</f>
        <v>04/11/2021</v>
      </c>
      <c r="E823" t="str">
        <f>""</f>
        <v/>
      </c>
      <c r="F823" t="str">
        <f>""</f>
        <v/>
      </c>
      <c r="G823" t="str">
        <f>"2015.64"</f>
        <v>2015.64</v>
      </c>
      <c r="H823" t="str">
        <f>"Consorzio di bonifica Bacchiglione"</f>
        <v>Consorzio di bonifica Bacchiglione</v>
      </c>
      <c r="I823" t="str">
        <f>"92223390284"</f>
        <v>92223390284</v>
      </c>
      <c r="J823" t="str">
        <f>"23-AFFIDAMENTO DIRETTO"</f>
        <v>23-AFFIDAMENTO DIRETTO</v>
      </c>
      <c r="K823" t="str">
        <f>"14/07/2021"</f>
        <v>14/07/2021</v>
      </c>
      <c r="L823" t="str">
        <f>"01/08/2021"</f>
        <v>01/08/2021</v>
      </c>
      <c r="M823" t="str">
        <f>""</f>
        <v/>
      </c>
      <c r="N823" t="str">
        <f>"Mardegan F.lli s.n.c. Via Argine Destro 13A 35020 Brenta di Correzzola PD"</f>
        <v>Mardegan F.lli s.n.c. Via Argine Destro 13A 35020 Brenta di Correzzola PD</v>
      </c>
      <c r="O823" t="str">
        <f>"Mardegan F.lli s.n.c. Via Argine Destro 13A 35020 Brenta di Correzzola PD"</f>
        <v>Mardegan F.lli s.n.c. Via Argine Destro 13A 35020 Brenta di Correzzola PD</v>
      </c>
      <c r="P823" t="str">
        <f>"Z2C1AA192A: [2015.64€ ]"</f>
        <v>Z2C1AA192A: [2015.64€ ]</v>
      </c>
      <c r="Q823" t="str">
        <f>""</f>
        <v/>
      </c>
      <c r="R823" t="str">
        <f>""</f>
        <v/>
      </c>
      <c r="S823" t="str">
        <f>""</f>
        <v/>
      </c>
      <c r="T823" t="str">
        <f>"https://portaletrasparenza.consorziobacchiglione.it/dettagli/attodigara/584/riparazione-e-manutenzione-mezzo-con-targa-da203yw.html"</f>
        <v>https://portaletrasparenza.consorziobacchiglione.it/dettagli/attodigara/584/riparazione-e-manutenzione-mezzo-con-targa-da203yw.html</v>
      </c>
      <c r="U823" t="str">
        <f>""</f>
        <v/>
      </c>
      <c r="V8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24" spans="1:22" x14ac:dyDescent="0.3">
      <c r="A824" t="str">
        <f>"Affidamento"</f>
        <v>Affidamento</v>
      </c>
      <c r="B824" t="str">
        <f>"Fornitura grasso per C.O.S.Margherita."</f>
        <v>Fornitura grasso per C.O.S.Margherita.</v>
      </c>
      <c r="C824" t="str">
        <f>"Z4E1AA5A37"</f>
        <v>Z4E1AA5A37</v>
      </c>
      <c r="D824" t="str">
        <f>"04/11/2021"</f>
        <v>04/11/2021</v>
      </c>
      <c r="E824" t="str">
        <f>""</f>
        <v/>
      </c>
      <c r="F824" t="str">
        <f>""</f>
        <v/>
      </c>
      <c r="G824" t="str">
        <f>"602.80"</f>
        <v>602.80</v>
      </c>
      <c r="H824" t="str">
        <f>"Consorzio di bonifica Bacchiglione"</f>
        <v>Consorzio di bonifica Bacchiglione</v>
      </c>
      <c r="I824" t="str">
        <f>"92223390284"</f>
        <v>92223390284</v>
      </c>
      <c r="J824" t="str">
        <f>"23-AFFIDAMENTO DIRETTO"</f>
        <v>23-AFFIDAMENTO DIRETTO</v>
      </c>
      <c r="K824" t="str">
        <f>"14/07/2021"</f>
        <v>14/07/2021</v>
      </c>
      <c r="L824" t="str">
        <f>"26/08/2021"</f>
        <v>26/08/2021</v>
      </c>
      <c r="M824" t="str">
        <f>""</f>
        <v/>
      </c>
      <c r="N824" t="str">
        <f>"Nils S.p.A. Via Stazione 30 39014 Burgstall BZ"</f>
        <v>Nils S.p.A. Via Stazione 30 39014 Burgstall BZ</v>
      </c>
      <c r="O824" t="str">
        <f>"Nils S.p.A. Via Stazione 30 39014 Burgstall BZ"</f>
        <v>Nils S.p.A. Via Stazione 30 39014 Burgstall BZ</v>
      </c>
      <c r="P824" t="str">
        <f>"Z4E1AA5A37: [602.79€ ]"</f>
        <v>Z4E1AA5A37: [602.79€ ]</v>
      </c>
      <c r="Q824" t="str">
        <f>""</f>
        <v/>
      </c>
      <c r="R824" t="str">
        <f>""</f>
        <v/>
      </c>
      <c r="S824" t="str">
        <f>""</f>
        <v/>
      </c>
      <c r="T824" t="str">
        <f>"https://portaletrasparenza.consorziobacchiglione.it/dettagli/attodigara/586/fornitura-grasso-per-c-o-s-margherita.html"</f>
        <v>https://portaletrasparenza.consorziobacchiglione.it/dettagli/attodigara/586/fornitura-grasso-per-c-o-s-margherita.html</v>
      </c>
      <c r="U824" t="str">
        <f>""</f>
        <v/>
      </c>
      <c r="V824">
        <f>(SUBSTITUTE(Tabella1[[#This Row],[Importo di aggiudicazione]],".",","))-(SUBSTITUTE(  SUBSTITUTE(          SUBSTITUTE(Tabella1[[#This Row],[Dettaglio somme liquidate]],Tabella1[[#This Row],[CIG]]&amp;": [",""),"€ ]",""),".",","))</f>
        <v>9.9999999999909051E-3</v>
      </c>
    </row>
    <row r="825" spans="1:22" x14ac:dyDescent="0.3">
      <c r="A825" t="str">
        <f>"Affidamento"</f>
        <v>Affidamento</v>
      </c>
      <c r="B825" t="str">
        <f>"Lavori di ripristino danni alla recinzione della ditta espropriata LAMPOGAS - interramento linea ENEL. - Processo ID 006-03."</f>
        <v>Lavori di ripristino danni alla recinzione della ditta espropriata LAMPOGAS - interramento linea ENEL. - Processo ID 006-03.</v>
      </c>
      <c r="C825" t="str">
        <f>"Z4E1AA4C7D"</f>
        <v>Z4E1AA4C7D</v>
      </c>
      <c r="D825" t="str">
        <f>"04/11/2021"</f>
        <v>04/11/2021</v>
      </c>
      <c r="E825" t="str">
        <f>""</f>
        <v/>
      </c>
      <c r="F825" t="str">
        <f>""</f>
        <v/>
      </c>
      <c r="G825" t="str">
        <f>"25000.00"</f>
        <v>25000.00</v>
      </c>
      <c r="H825" t="str">
        <f>"Consorzio di bonifica Bacchiglione"</f>
        <v>Consorzio di bonifica Bacchiglione</v>
      </c>
      <c r="I825" t="str">
        <f>"92223390284"</f>
        <v>92223390284</v>
      </c>
      <c r="J825" t="str">
        <f>"23-AFFIDAMENTO DIRETTO"</f>
        <v>23-AFFIDAMENTO DIRETTO</v>
      </c>
      <c r="K825" t="str">
        <f>"14/07/2021"</f>
        <v>14/07/2021</v>
      </c>
      <c r="L825" t="str">
        <f>"15/11/2021"</f>
        <v>15/11/2021</v>
      </c>
      <c r="M825" t="str">
        <f>""</f>
        <v/>
      </c>
      <c r="N825" t="str">
        <f>"Impresa Costruzioni Gallo Road S.r.l."</f>
        <v>Impresa Costruzioni Gallo Road S.r.l.</v>
      </c>
      <c r="O825" t="str">
        <f>"Impresa Costruzioni Gallo Road S.r.l."</f>
        <v>Impresa Costruzioni Gallo Road S.r.l.</v>
      </c>
      <c r="P825" t="str">
        <f>"Z4E1AA4C7D: [22350.00€ ]"</f>
        <v>Z4E1AA4C7D: [22350.00€ ]</v>
      </c>
      <c r="Q825" t="str">
        <f>""</f>
        <v/>
      </c>
      <c r="R825" t="str">
        <f>""</f>
        <v/>
      </c>
      <c r="S825" t="str">
        <f>""</f>
        <v/>
      </c>
      <c r="T825" t="str">
        <f>"https://portaletrasparenza.consorziobacchiglione.it/dettagli/attodigara/583/lavori-di-ripristino-danni-alla-recinzione-della-ditta-espropriata-lampogas-interramento-linea-enel-processo-id-006-03.html"</f>
        <v>https://portaletrasparenza.consorziobacchiglione.it/dettagli/attodigara/583/lavori-di-ripristino-danni-alla-recinzione-della-ditta-espropriata-lampogas-interramento-linea-enel-processo-id-006-03.html</v>
      </c>
      <c r="U825" t="str">
        <f>""</f>
        <v/>
      </c>
      <c r="V825">
        <f>(SUBSTITUTE(Tabella1[[#This Row],[Importo di aggiudicazione]],".",","))-(SUBSTITUTE(  SUBSTITUTE(          SUBSTITUTE(Tabella1[[#This Row],[Dettaglio somme liquidate]],Tabella1[[#This Row],[CIG]]&amp;": [",""),"€ ]",""),".",","))</f>
        <v>2650</v>
      </c>
    </row>
    <row r="826" spans="1:22" x14ac:dyDescent="0.3">
      <c r="A826" t="str">
        <f>"Affidamento"</f>
        <v>Affidamento</v>
      </c>
      <c r="B826" t="str">
        <f>"Tinteggiatura interna ed esterna presso sede Consorziale"</f>
        <v>Tinteggiatura interna ed esterna presso sede Consorziale</v>
      </c>
      <c r="C826" t="str">
        <f>"ZD71B2E359"</f>
        <v>ZD71B2E359</v>
      </c>
      <c r="D826" t="str">
        <f>"04/11/2021"</f>
        <v>04/11/2021</v>
      </c>
      <c r="E826" t="str">
        <f>""</f>
        <v/>
      </c>
      <c r="F826" t="str">
        <f>""</f>
        <v/>
      </c>
      <c r="G826" t="str">
        <f>"2567.00"</f>
        <v>2567.00</v>
      </c>
      <c r="H826" t="str">
        <f>"Consorzio di bonifica Bacchiglione"</f>
        <v>Consorzio di bonifica Bacchiglione</v>
      </c>
      <c r="I826" t="str">
        <f>"92223390284"</f>
        <v>92223390284</v>
      </c>
      <c r="J826" t="str">
        <f>"23-AFFIDAMENTO DIRETTO"</f>
        <v>23-AFFIDAMENTO DIRETTO</v>
      </c>
      <c r="K826" t="str">
        <f>"14/09/2021"</f>
        <v>14/09/2021</v>
      </c>
      <c r="L826" t="str">
        <f>"03/01/2021"</f>
        <v>03/01/2021</v>
      </c>
      <c r="M826" t="str">
        <f>""</f>
        <v/>
      </c>
      <c r="N826" t="str">
        <f>"Meneghin Massimo Dipintore - Decoratore via Cambroso 112 35020 Codevigo PD | Rampazzo Massimo pitture e risanamento Via Isonzo 20 35020 Ponte S.Nicolo' PD"</f>
        <v>Meneghin Massimo Dipintore - Decoratore via Cambroso 112 35020 Codevigo PD | Rampazzo Massimo pitture e risanamento Via Isonzo 20 35020 Ponte S.Nicolo' PD</v>
      </c>
      <c r="O826" t="str">
        <f>"Meneghin Massimo Dipintore - Decoratore via Cambroso 112 35020 Codevigo PD"</f>
        <v>Meneghin Massimo Dipintore - Decoratore via Cambroso 112 35020 Codevigo PD</v>
      </c>
      <c r="P826" t="str">
        <f>"ZD71B2E359: [2567.00€ ]"</f>
        <v>ZD71B2E359: [2567.00€ ]</v>
      </c>
      <c r="Q826" t="str">
        <f>""</f>
        <v/>
      </c>
      <c r="R826" t="str">
        <f>""</f>
        <v/>
      </c>
      <c r="S826" t="str">
        <f>""</f>
        <v/>
      </c>
      <c r="T826" t="str">
        <f>"https://portaletrasparenza.consorziobacchiglione.it/dettagli/attodigara/741/tinteggiatura-interna-ed-esterna-presso-sede-consorziale.html"</f>
        <v>https://portaletrasparenza.consorziobacchiglione.it/dettagli/attodigara/741/tinteggiatura-interna-ed-esterna-presso-sede-consorziale.html</v>
      </c>
      <c r="U826" t="str">
        <f>""</f>
        <v/>
      </c>
      <c r="V8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27" spans="1:22" x14ac:dyDescent="0.3">
      <c r="A827" t="str">
        <f>"Affidamento"</f>
        <v>Affidamento</v>
      </c>
      <c r="B827" t="str">
        <f>"Revisione elettropompa Pot. 85 KW Idrovora Maestro."</f>
        <v>Revisione elettropompa Pot. 85 KW Idrovora Maestro.</v>
      </c>
      <c r="C827" t="str">
        <f>"Z981B2D840"</f>
        <v>Z981B2D840</v>
      </c>
      <c r="D827" t="str">
        <f>"04/11/2021"</f>
        <v>04/11/2021</v>
      </c>
      <c r="E827" t="str">
        <f>""</f>
        <v/>
      </c>
      <c r="F827" t="str">
        <f>""</f>
        <v/>
      </c>
      <c r="G827" t="str">
        <f>"4747.60"</f>
        <v>4747.60</v>
      </c>
      <c r="H827" t="str">
        <f>"Consorzio di bonifica Bacchiglione"</f>
        <v>Consorzio di bonifica Bacchiglione</v>
      </c>
      <c r="I827" t="str">
        <f>"92223390284"</f>
        <v>92223390284</v>
      </c>
      <c r="J827" t="str">
        <f>"23-AFFIDAMENTO DIRETTO"</f>
        <v>23-AFFIDAMENTO DIRETTO</v>
      </c>
      <c r="K827" t="str">
        <f>"14/09/2021"</f>
        <v>14/09/2021</v>
      </c>
      <c r="L827" t="str">
        <f>"19/12/2021"</f>
        <v>19/12/2021</v>
      </c>
      <c r="M827" t="str">
        <f>""</f>
        <v/>
      </c>
      <c r="N827" t="str">
        <f>"Xylem Water Solutions Italia S.r.l. Via Gioacchino Rossini 1A 20020 Lainate MI"</f>
        <v>Xylem Water Solutions Italia S.r.l. Via Gioacchino Rossini 1A 20020 Lainate MI</v>
      </c>
      <c r="O827" t="str">
        <f>"Xylem Water Solutions Italia S.r.l. Via Gioacchino Rossini 1A 20020 Lainate MI"</f>
        <v>Xylem Water Solutions Italia S.r.l. Via Gioacchino Rossini 1A 20020 Lainate MI</v>
      </c>
      <c r="P827" t="str">
        <f>"Z981B2D840: [4747.60€ ]"</f>
        <v>Z981B2D840: [4747.60€ ]</v>
      </c>
      <c r="Q827" t="str">
        <f>""</f>
        <v/>
      </c>
      <c r="R827" t="str">
        <f>""</f>
        <v/>
      </c>
      <c r="S827" t="str">
        <f>""</f>
        <v/>
      </c>
      <c r="T827" t="str">
        <f>"https://portaletrasparenza.consorziobacchiglione.it/dettagli/attodigara/740/revisione-elettropompa-pot-85-kw-idrovora-maestro.html"</f>
        <v>https://portaletrasparenza.consorziobacchiglione.it/dettagli/attodigara/740/revisione-elettropompa-pot-85-kw-idrovora-maestro.html</v>
      </c>
      <c r="U827" t="str">
        <f>""</f>
        <v/>
      </c>
      <c r="V82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28" spans="1:22" x14ac:dyDescent="0.3">
      <c r="A828" t="str">
        <f>"Affidamento"</f>
        <v>Affidamento</v>
      </c>
      <c r="B828" t="str">
        <f>"Fornitura materiale elettrico per Idrovora Bovolenta pompa n 1."</f>
        <v>Fornitura materiale elettrico per Idrovora Bovolenta pompa n 1.</v>
      </c>
      <c r="C828" t="str">
        <f>"Z371B27F5B"</f>
        <v>Z371B27F5B</v>
      </c>
      <c r="D828" t="str">
        <f>"04/11/2021"</f>
        <v>04/11/2021</v>
      </c>
      <c r="E828" t="str">
        <f>""</f>
        <v/>
      </c>
      <c r="F828" t="str">
        <f>""</f>
        <v/>
      </c>
      <c r="G828" t="str">
        <f>"617.32"</f>
        <v>617.32</v>
      </c>
      <c r="H828" t="str">
        <f>"Consorzio di bonifica Bacchiglione"</f>
        <v>Consorzio di bonifica Bacchiglione</v>
      </c>
      <c r="I828" t="str">
        <f>"92223390284"</f>
        <v>92223390284</v>
      </c>
      <c r="J828" t="str">
        <f>"23-AFFIDAMENTO DIRETTO"</f>
        <v>23-AFFIDAMENTO DIRETTO</v>
      </c>
      <c r="K828" t="str">
        <f>"14/09/2021"</f>
        <v>14/09/2021</v>
      </c>
      <c r="L828" t="str">
        <f>"03/01/2021"</f>
        <v>03/01/2021</v>
      </c>
      <c r="M828" t="str">
        <f>""</f>
        <v/>
      </c>
      <c r="N828" t="str">
        <f>"Sonepar Italia Nord S.p.A. Riviera Maestri del lavoro 24 35127 Padova"</f>
        <v>Sonepar Italia Nord S.p.A. Riviera Maestri del lavoro 24 35127 Padova</v>
      </c>
      <c r="O828" t="str">
        <f>"Sonepar Italia Nord S.p.A. Riviera Maestri del lavoro 24 35127 Padova"</f>
        <v>Sonepar Italia Nord S.p.A. Riviera Maestri del lavoro 24 35127 Padova</v>
      </c>
      <c r="P828" t="str">
        <f>"Z371B27F5B: [617.32€ ]"</f>
        <v>Z371B27F5B: [617.32€ ]</v>
      </c>
      <c r="Q828" t="str">
        <f>""</f>
        <v/>
      </c>
      <c r="R828" t="str">
        <f>""</f>
        <v/>
      </c>
      <c r="S828" t="str">
        <f>""</f>
        <v/>
      </c>
      <c r="T828" t="str">
        <f>"https://portaletrasparenza.consorziobacchiglione.it/dettagli/attodigara/739/fornitura-materiale-elettrico-per-idrovora-bovolenta-pompa-n-1.html"</f>
        <v>https://portaletrasparenza.consorziobacchiglione.it/dettagli/attodigara/739/fornitura-materiale-elettrico-per-idrovora-bovolenta-pompa-n-1.html</v>
      </c>
      <c r="U828" t="str">
        <f>""</f>
        <v/>
      </c>
      <c r="V8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29" spans="1:22" x14ac:dyDescent="0.3">
      <c r="A829" t="str">
        <f>"Affidamento"</f>
        <v>Affidamento</v>
      </c>
      <c r="B829" t="str">
        <f>"Servizio di catering per inaugurazione Scolmatore Limenella Fossetta."</f>
        <v>Servizio di catering per inaugurazione Scolmatore Limenella Fossetta.</v>
      </c>
      <c r="C829" t="str">
        <f>"Z5D1B2C954"</f>
        <v>Z5D1B2C954</v>
      </c>
      <c r="D829" t="str">
        <f>"04/11/2021"</f>
        <v>04/11/2021</v>
      </c>
      <c r="E829" t="str">
        <f>""</f>
        <v/>
      </c>
      <c r="F829" t="str">
        <f>""</f>
        <v/>
      </c>
      <c r="G829" t="str">
        <f>"530.50"</f>
        <v>530.50</v>
      </c>
      <c r="H829" t="str">
        <f>"Consorzio di bonifica Bacchiglione"</f>
        <v>Consorzio di bonifica Bacchiglione</v>
      </c>
      <c r="I829" t="str">
        <f>"92223390284"</f>
        <v>92223390284</v>
      </c>
      <c r="J829" t="str">
        <f>"23-AFFIDAMENTO DIRETTO"</f>
        <v>23-AFFIDAMENTO DIRETTO</v>
      </c>
      <c r="K829" t="str">
        <f>"14/09/2021"</f>
        <v>14/09/2021</v>
      </c>
      <c r="L829" t="str">
        <f>"30/09/2021"</f>
        <v>30/09/2021</v>
      </c>
      <c r="M829" t="str">
        <f>""</f>
        <v/>
      </c>
      <c r="N829" t="str">
        <f>"Past.Gelbar tipo B Marisa - Mozzato via Umberto I 104 35020 Arzergrande PD"</f>
        <v>Past.Gelbar tipo B Marisa - Mozzato via Umberto I 104 35020 Arzergrande PD</v>
      </c>
      <c r="O829" t="str">
        <f>"Past.Gelbar tipo B Marisa - Mozzato via Umberto I 104 35020 Arzergrande PD"</f>
        <v>Past.Gelbar tipo B Marisa - Mozzato via Umberto I 104 35020 Arzergrande PD</v>
      </c>
      <c r="P829" t="str">
        <f>"Z5D1B2C954: [530.50€ ]"</f>
        <v>Z5D1B2C954: [530.50€ ]</v>
      </c>
      <c r="Q829" t="str">
        <f>""</f>
        <v/>
      </c>
      <c r="R829" t="str">
        <f>""</f>
        <v/>
      </c>
      <c r="S829" t="str">
        <f>""</f>
        <v/>
      </c>
      <c r="T829" t="str">
        <f>"https://portaletrasparenza.consorziobacchiglione.it/dettagli/attodigara/738/servizio-di-catering-per-inaugurazione-scolmatore-limenella-fossetta.html"</f>
        <v>https://portaletrasparenza.consorziobacchiglione.it/dettagli/attodigara/738/servizio-di-catering-per-inaugurazione-scolmatore-limenella-fossetta.html</v>
      </c>
      <c r="U829" t="str">
        <f>""</f>
        <v/>
      </c>
      <c r="V8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30" spans="1:22" x14ac:dyDescent="0.3">
      <c r="A830" t="str">
        <f>"Affidamento"</f>
        <v>Affidamento</v>
      </c>
      <c r="B830" t="str">
        <f>"Fornitura di n.1 Container Scarrabile porta a tenuta presso Impianto Trezze per raccolta materiale derivanti dalle operazioni di sgrigliatura"</f>
        <v>Fornitura di n.1 Container Scarrabile porta a tenuta presso Impianto Trezze per raccolta materiale derivanti dalle operazioni di sgrigliatura</v>
      </c>
      <c r="C830" t="str">
        <f>"Z443308E94"</f>
        <v>Z443308E94</v>
      </c>
      <c r="D830" t="str">
        <f>"04/10/2021"</f>
        <v>04/10/2021</v>
      </c>
      <c r="E830" t="str">
        <f>""</f>
        <v/>
      </c>
      <c r="F830" t="str">
        <f>""</f>
        <v/>
      </c>
      <c r="G830" t="str">
        <f>"5480.00"</f>
        <v>5480.00</v>
      </c>
      <c r="H830" t="str">
        <f>"Consorzio di bonifica Bacchiglione"</f>
        <v>Consorzio di bonifica Bacchiglione</v>
      </c>
      <c r="I830" t="str">
        <f>"92223390284"</f>
        <v>92223390284</v>
      </c>
      <c r="J830" t="str">
        <f>"23-AFFIDAMENTO DIRETTO"</f>
        <v>23-AFFIDAMENTO DIRETTO</v>
      </c>
      <c r="K830" t="str">
        <f>"14/09/2021"</f>
        <v>14/09/2021</v>
      </c>
      <c r="L830" t="str">
        <f>"17/09/2021"</f>
        <v>17/09/2021</v>
      </c>
      <c r="M830" t="str">
        <f>""</f>
        <v/>
      </c>
      <c r="N830" t="str">
        <f>"Carnovali SPA Via Industriale 2 25080 Prevalle BS"</f>
        <v>Carnovali SPA Via Industriale 2 25080 Prevalle BS</v>
      </c>
      <c r="O830" t="str">
        <f>"Carnovali SPA Via Industriale 2 25080 Prevalle BS"</f>
        <v>Carnovali SPA Via Industriale 2 25080 Prevalle BS</v>
      </c>
      <c r="P830" t="str">
        <f>"Z443308E94: [5480.00€ ]"</f>
        <v>Z443308E94: [5480.00€ ]</v>
      </c>
      <c r="Q830" t="str">
        <f>""</f>
        <v/>
      </c>
      <c r="R830" t="str">
        <f>""</f>
        <v/>
      </c>
      <c r="S830" t="str">
        <f>""</f>
        <v/>
      </c>
      <c r="T830" t="str">
        <f>"https://portaletrasparenza.consorziobacchiglione.it/dettagli/attodigara/7132/fornitura-di-n-1-container-scarrabile-porta-a-tenuta-presso-impianto-trezze-per-raccolta-materiale-derivanti-dalle-operazioni-di-sgrigliatura.html"</f>
        <v>https://portaletrasparenza.consorziobacchiglione.it/dettagli/attodigara/7132/fornitura-di-n-1-container-scarrabile-porta-a-tenuta-presso-impianto-trezze-per-raccolta-materiale-derivanti-dalle-operazioni-di-sgrigliatura.html</v>
      </c>
      <c r="U830" t="str">
        <f>"https://portaletrasparenza.consorziobacchiglione.it/download/attodigara/7132/63ac45d278e76.PDF"</f>
        <v>https://portaletrasparenza.consorziobacchiglione.it/download/attodigara/7132/63ac45d278e76.PDF</v>
      </c>
      <c r="V8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31" spans="1:22" x14ac:dyDescent="0.3">
      <c r="A831" t="str">
        <f>"Affidamento"</f>
        <v>Affidamento</v>
      </c>
      <c r="B831" t="str">
        <f>"Lavori con escavatore , trincia laterale e posteriore, viaggi di ceppaie zona Corte."</f>
        <v>Lavori con escavatore , trincia laterale e posteriore, viaggi di ceppaie zona Corte.</v>
      </c>
      <c r="C831" t="str">
        <f>"Z981B98D0D"</f>
        <v>Z981B98D0D</v>
      </c>
      <c r="D831" t="str">
        <f>"04/11/2021"</f>
        <v>04/11/2021</v>
      </c>
      <c r="E831" t="str">
        <f>""</f>
        <v/>
      </c>
      <c r="F831" t="str">
        <f>""</f>
        <v/>
      </c>
      <c r="G831" t="str">
        <f>"5880.00"</f>
        <v>5880.00</v>
      </c>
      <c r="H831" t="str">
        <f>"Consorzio di bonifica Bacchiglione"</f>
        <v>Consorzio di bonifica Bacchiglione</v>
      </c>
      <c r="I831" t="str">
        <f>"92223390284"</f>
        <v>92223390284</v>
      </c>
      <c r="J831" t="str">
        <f>"23-AFFIDAMENTO DIRETTO"</f>
        <v>23-AFFIDAMENTO DIRETTO</v>
      </c>
      <c r="K831" t="str">
        <f>"14/10/2021"</f>
        <v>14/10/2021</v>
      </c>
      <c r="L831" t="str">
        <f>"30/11/2021"</f>
        <v>30/11/2021</v>
      </c>
      <c r="M831" t="str">
        <f>""</f>
        <v/>
      </c>
      <c r="N831" t="str">
        <f>"Viale Valter Via 1° Maggio 124 30010 Campagna Lupia VE"</f>
        <v>Viale Valter Via 1° Maggio 124 30010 Campagna Lupia VE</v>
      </c>
      <c r="O831" t="str">
        <f>"Viale Valter Via 1° Maggio 124 30010 Campagna Lupia VE"</f>
        <v>Viale Valter Via 1° Maggio 124 30010 Campagna Lupia VE</v>
      </c>
      <c r="P831" t="str">
        <f>"Z981B98D0D: [5880.00€ ]"</f>
        <v>Z981B98D0D: [5880.00€ ]</v>
      </c>
      <c r="Q831" t="str">
        <f>""</f>
        <v/>
      </c>
      <c r="R831" t="str">
        <f>""</f>
        <v/>
      </c>
      <c r="S831" t="str">
        <f>""</f>
        <v/>
      </c>
      <c r="T831" t="str">
        <f>"https://portaletrasparenza.consorziobacchiglione.it/dettagli/attodigara/830/lavori-con-escavatore-trincia-laterale-e-posteriore-viaggi-di-ceppaie-zona-corte.html"</f>
        <v>https://portaletrasparenza.consorziobacchiglione.it/dettagli/attodigara/830/lavori-con-escavatore-trincia-laterale-e-posteriore-viaggi-di-ceppaie-zona-corte.html</v>
      </c>
      <c r="U831" t="str">
        <f>""</f>
        <v/>
      </c>
      <c r="V8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32" spans="1:22" x14ac:dyDescent="0.3">
      <c r="A832" t="str">
        <f>"Affidamento"</f>
        <v>Affidamento</v>
      </c>
      <c r="B832" t="str">
        <f>"Lavoro di sostituzione sensore FMU43 Idrovora Voltabarozzo."</f>
        <v>Lavoro di sostituzione sensore FMU43 Idrovora Voltabarozzo.</v>
      </c>
      <c r="C832" t="str">
        <f>"Z8A1B98947"</f>
        <v>Z8A1B98947</v>
      </c>
      <c r="D832" t="str">
        <f>"04/11/2021"</f>
        <v>04/11/2021</v>
      </c>
      <c r="E832" t="str">
        <f>""</f>
        <v/>
      </c>
      <c r="F832" t="str">
        <f>""</f>
        <v/>
      </c>
      <c r="G832" t="str">
        <f>"290.00"</f>
        <v>290.00</v>
      </c>
      <c r="H832" t="str">
        <f>"Consorzio di bonifica Bacchiglione"</f>
        <v>Consorzio di bonifica Bacchiglione</v>
      </c>
      <c r="I832" t="str">
        <f>"92223390284"</f>
        <v>92223390284</v>
      </c>
      <c r="J832" t="str">
        <f>"23-AFFIDAMENTO DIRETTO"</f>
        <v>23-AFFIDAMENTO DIRETTO</v>
      </c>
      <c r="K832" t="str">
        <f>"14/10/2021"</f>
        <v>14/10/2021</v>
      </c>
      <c r="L832" t="str">
        <f>"15/11/2021"</f>
        <v>15/11/2021</v>
      </c>
      <c r="M832" t="str">
        <f>""</f>
        <v/>
      </c>
      <c r="N832" t="str">
        <f>"Picello s.r.l. V.le del Progresso 14A 35026 Conselve PD"</f>
        <v>Picello s.r.l. V.le del Progresso 14A 35026 Conselve PD</v>
      </c>
      <c r="O832" t="str">
        <f>"Picello s.r.l. V.le del Progresso 14A 35026 Conselve PD"</f>
        <v>Picello s.r.l. V.le del Progresso 14A 35026 Conselve PD</v>
      </c>
      <c r="P832" t="str">
        <f>"Z8A1B98947: [290.00€ ]"</f>
        <v>Z8A1B98947: [290.00€ ]</v>
      </c>
      <c r="Q832" t="str">
        <f>""</f>
        <v/>
      </c>
      <c r="R832" t="str">
        <f>""</f>
        <v/>
      </c>
      <c r="S832" t="str">
        <f>""</f>
        <v/>
      </c>
      <c r="T832" t="str">
        <f>"https://portaletrasparenza.consorziobacchiglione.it/dettagli/attodigara/828/lavoro-di-sostituzione-sensore-fmu43-idrovora-voltabarozzo.html"</f>
        <v>https://portaletrasparenza.consorziobacchiglione.it/dettagli/attodigara/828/lavoro-di-sostituzione-sensore-fmu43-idrovora-voltabarozzo.html</v>
      </c>
      <c r="U832" t="str">
        <f>""</f>
        <v/>
      </c>
      <c r="V8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33" spans="1:22" x14ac:dyDescent="0.3">
      <c r="A833" t="str">
        <f>"Affidamento"</f>
        <v>Affidamento</v>
      </c>
      <c r="B833" t="str">
        <f>"Riparazione pistone destro stabilizzatore su mezzo con targa PDB49361."</f>
        <v>Riparazione pistone destro stabilizzatore su mezzo con targa PDB49361.</v>
      </c>
      <c r="C833" t="str">
        <f>"Z951B9807A"</f>
        <v>Z951B9807A</v>
      </c>
      <c r="D833" t="str">
        <f>"04/11/2021"</f>
        <v>04/11/2021</v>
      </c>
      <c r="E833" t="str">
        <f>""</f>
        <v/>
      </c>
      <c r="F833" t="str">
        <f>""</f>
        <v/>
      </c>
      <c r="G833" t="str">
        <f>"250.00"</f>
        <v>250.00</v>
      </c>
      <c r="H833" t="str">
        <f>"Consorzio di bonifica Bacchiglione"</f>
        <v>Consorzio di bonifica Bacchiglione</v>
      </c>
      <c r="I833" t="str">
        <f>"92223390284"</f>
        <v>92223390284</v>
      </c>
      <c r="J833" t="str">
        <f>"23-AFFIDAMENTO DIRETTO"</f>
        <v>23-AFFIDAMENTO DIRETTO</v>
      </c>
      <c r="K833" t="str">
        <f>"14/10/2021"</f>
        <v>14/10/2021</v>
      </c>
      <c r="L833" t="str">
        <f>"03/01/2021"</f>
        <v>03/01/2021</v>
      </c>
      <c r="M833" t="str">
        <f>""</f>
        <v/>
      </c>
      <c r="N833" t="str">
        <f>"Officina Biesse S.n.c. Via Matteotti 24 35020 Arzergrande PD | ZEMI s.a.s. di Zanotto Enzo di Ruzzante Dorina Via E. Mattei 7 35020 Due Carrare PD"</f>
        <v>Officina Biesse S.n.c. Via Matteotti 24 35020 Arzergrande PD | ZEMI s.a.s. di Zanotto Enzo di Ruzzante Dorina Via E. Mattei 7 35020 Due Carrare PD</v>
      </c>
      <c r="O833" t="str">
        <f>"Officina Biesse S.n.c. Via Matteotti 24 35020 Arzergrande PD"</f>
        <v>Officina Biesse S.n.c. Via Matteotti 24 35020 Arzergrande PD</v>
      </c>
      <c r="P833" t="str">
        <f>"Z951B9807A: [250.00€ ]"</f>
        <v>Z951B9807A: [250.00€ ]</v>
      </c>
      <c r="Q833" t="str">
        <f>""</f>
        <v/>
      </c>
      <c r="R833" t="str">
        <f>""</f>
        <v/>
      </c>
      <c r="S833" t="str">
        <f>""</f>
        <v/>
      </c>
      <c r="T833" t="str">
        <f>"https://portaletrasparenza.consorziobacchiglione.it/dettagli/attodigara/827/riparazione-pistone-destro-stabilizzatore-su-mezzo-con-targa-pdb49361.html"</f>
        <v>https://portaletrasparenza.consorziobacchiglione.it/dettagli/attodigara/827/riparazione-pistone-destro-stabilizzatore-su-mezzo-con-targa-pdb49361.html</v>
      </c>
      <c r="U833" t="str">
        <f>""</f>
        <v/>
      </c>
      <c r="V8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34" spans="1:22" x14ac:dyDescent="0.3">
      <c r="A834" t="str">
        <f>"Affidamento"</f>
        <v>Affidamento</v>
      </c>
      <c r="B834" t="str">
        <f>"Riparazione e manutenzione mezzi con targa : PDAH521, PDAH662, AGK711, Motobarca n. 1 - 2 - 5 e G.E. Idrovora Baldon."</f>
        <v>Riparazione e manutenzione mezzi con targa : PDAH521, PDAH662, AGK711, Motobarca n. 1 - 2 - 5 e G.E. Idrovora Baldon.</v>
      </c>
      <c r="C834" t="str">
        <f>"Z5A1B97C57"</f>
        <v>Z5A1B97C57</v>
      </c>
      <c r="D834" t="str">
        <f>"04/11/2021"</f>
        <v>04/11/2021</v>
      </c>
      <c r="E834" t="str">
        <f>""</f>
        <v/>
      </c>
      <c r="F834" t="str">
        <f>""</f>
        <v/>
      </c>
      <c r="G834" t="str">
        <f>"3313.50"</f>
        <v>3313.50</v>
      </c>
      <c r="H834" t="str">
        <f>"Consorzio di bonifica Bacchiglione"</f>
        <v>Consorzio di bonifica Bacchiglione</v>
      </c>
      <c r="I834" t="str">
        <f>"92223390284"</f>
        <v>92223390284</v>
      </c>
      <c r="J834" t="str">
        <f>"23-AFFIDAMENTO DIRETTO"</f>
        <v>23-AFFIDAMENTO DIRETTO</v>
      </c>
      <c r="K834" t="str">
        <f>"14/10/2021"</f>
        <v>14/10/2021</v>
      </c>
      <c r="L834" t="str">
        <f>"05/01/2021"</f>
        <v>05/01/2021</v>
      </c>
      <c r="M834" t="str">
        <f>""</f>
        <v/>
      </c>
      <c r="N834" t="str">
        <f>"Officina Biesse S.n.c. Via Matteotti 24 35020 Arzergrande PD"</f>
        <v>Officina Biesse S.n.c. Via Matteotti 24 35020 Arzergrande PD</v>
      </c>
      <c r="O834" t="str">
        <f>"Officina Biesse S.n.c. Via Matteotti 24 35020 Arzergrande PD"</f>
        <v>Officina Biesse S.n.c. Via Matteotti 24 35020 Arzergrande PD</v>
      </c>
      <c r="P834" t="str">
        <f>"Z5A1B97C57: [3313.50€ ]"</f>
        <v>Z5A1B97C57: [3313.50€ ]</v>
      </c>
      <c r="Q834" t="str">
        <f>""</f>
        <v/>
      </c>
      <c r="R834" t="str">
        <f>""</f>
        <v/>
      </c>
      <c r="S834" t="str">
        <f>""</f>
        <v/>
      </c>
      <c r="T834" t="str">
        <f>"https://portaletrasparenza.consorziobacchiglione.it/dettagli/attodigara/826/riparazione-e-manutenzione-mezzi-con-targa-pdah521-pdah662-agk711-motobarca-n-1-2-5-e-g-e-idrovora-baldon.html"</f>
        <v>https://portaletrasparenza.consorziobacchiglione.it/dettagli/attodigara/826/riparazione-e-manutenzione-mezzi-con-targa-pdah521-pdah662-agk711-motobarca-n-1-2-5-e-g-e-idrovora-baldon.html</v>
      </c>
      <c r="U834" t="str">
        <f>""</f>
        <v/>
      </c>
      <c r="V8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35" spans="1:22" x14ac:dyDescent="0.3">
      <c r="A835" t="str">
        <f>"Affidamento"</f>
        <v>Affidamento</v>
      </c>
      <c r="B835" t="str">
        <f>"Fornitura n. 2 pneumatici per mezzo con targa: AHH573."</f>
        <v>Fornitura n. 2 pneumatici per mezzo con targa: AHH573.</v>
      </c>
      <c r="C835" t="str">
        <f>"ZB81B9764D"</f>
        <v>ZB81B9764D</v>
      </c>
      <c r="D835" t="str">
        <f>"04/11/2021"</f>
        <v>04/11/2021</v>
      </c>
      <c r="E835" t="str">
        <f>""</f>
        <v/>
      </c>
      <c r="F835" t="str">
        <f>""</f>
        <v/>
      </c>
      <c r="G835" t="str">
        <f>"1922.00"</f>
        <v>1922.00</v>
      </c>
      <c r="H835" t="str">
        <f>"Consorzio di bonifica Bacchiglione"</f>
        <v>Consorzio di bonifica Bacchiglione</v>
      </c>
      <c r="I835" t="str">
        <f>"92223390284"</f>
        <v>92223390284</v>
      </c>
      <c r="J835" t="str">
        <f>"23-AFFIDAMENTO DIRETTO"</f>
        <v>23-AFFIDAMENTO DIRETTO</v>
      </c>
      <c r="K835" t="str">
        <f>"14/10/2021"</f>
        <v>14/10/2021</v>
      </c>
      <c r="L835" t="str">
        <f>"03/01/2021"</f>
        <v>03/01/2021</v>
      </c>
      <c r="M835" t="str">
        <f>""</f>
        <v/>
      </c>
      <c r="N835" t="str">
        <f>"Galesso Roberto Via San Rocco 52B 35028 Piove di Sacco PD"</f>
        <v>Galesso Roberto Via San Rocco 52B 35028 Piove di Sacco PD</v>
      </c>
      <c r="O835" t="str">
        <f>"Galesso Roberto Via San Rocco 52B 35028 Piove di Sacco PD"</f>
        <v>Galesso Roberto Via San Rocco 52B 35028 Piove di Sacco PD</v>
      </c>
      <c r="P835" t="str">
        <f>"ZB81B9764D: [1922.00€ ]"</f>
        <v>ZB81B9764D: [1922.00€ ]</v>
      </c>
      <c r="Q835" t="str">
        <f>""</f>
        <v/>
      </c>
      <c r="R835" t="str">
        <f>""</f>
        <v/>
      </c>
      <c r="S835" t="str">
        <f>""</f>
        <v/>
      </c>
      <c r="T835" t="str">
        <f>"https://portaletrasparenza.consorziobacchiglione.it/dettagli/attodigara/825/fornitura-n-2-pneumatici-per-mezzo-con-targa-ahh573.html"</f>
        <v>https://portaletrasparenza.consorziobacchiglione.it/dettagli/attodigara/825/fornitura-n-2-pneumatici-per-mezzo-con-targa-ahh573.html</v>
      </c>
      <c r="U835" t="str">
        <f>""</f>
        <v/>
      </c>
      <c r="V8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36" spans="1:22" x14ac:dyDescent="0.3">
      <c r="A836" t="str">
        <f>"Affidamento"</f>
        <v>Affidamento</v>
      </c>
      <c r="B836" t="str">
        <f>"Abbonamento triennale al servizio Italpos."</f>
        <v>Abbonamento triennale al servizio Italpos.</v>
      </c>
      <c r="C836" t="str">
        <f>"Z7A1B96E6A"</f>
        <v>Z7A1B96E6A</v>
      </c>
      <c r="D836" t="str">
        <f>"04/11/2021"</f>
        <v>04/11/2021</v>
      </c>
      <c r="E836" t="str">
        <f>""</f>
        <v/>
      </c>
      <c r="F836" t="str">
        <f>""</f>
        <v/>
      </c>
      <c r="G836" t="str">
        <f>"750.00"</f>
        <v>750.00</v>
      </c>
      <c r="H836" t="str">
        <f>"Consorzio di bonifica Bacchiglione"</f>
        <v>Consorzio di bonifica Bacchiglione</v>
      </c>
      <c r="I836" t="str">
        <f>"92223390284"</f>
        <v>92223390284</v>
      </c>
      <c r="J836" t="str">
        <f>"23-AFFIDAMENTO DIRETTO"</f>
        <v>23-AFFIDAMENTO DIRETTO</v>
      </c>
      <c r="K836" t="str">
        <f>"14/10/2021"</f>
        <v>14/10/2021</v>
      </c>
      <c r="L836" t="str">
        <f>"09/11/2021"</f>
        <v>09/11/2021</v>
      </c>
      <c r="M836" t="str">
        <f>""</f>
        <v/>
      </c>
      <c r="N836" t="str">
        <f>"Leica Geosystems S.p.A. Via Codognino 12 26854 Cornegliano Laudense LO"</f>
        <v>Leica Geosystems S.p.A. Via Codognino 12 26854 Cornegliano Laudense LO</v>
      </c>
      <c r="O836" t="str">
        <f>"Leica Geosystems S.p.A. Via Codognino 12 26854 Cornegliano Laudense LO"</f>
        <v>Leica Geosystems S.p.A. Via Codognino 12 26854 Cornegliano Laudense LO</v>
      </c>
      <c r="P836" t="str">
        <f>"Z7A1B96E6A: [750.00€ ]"</f>
        <v>Z7A1B96E6A: [750.00€ ]</v>
      </c>
      <c r="Q836" t="str">
        <f>""</f>
        <v/>
      </c>
      <c r="R836" t="str">
        <f>""</f>
        <v/>
      </c>
      <c r="S836" t="str">
        <f>""</f>
        <v/>
      </c>
      <c r="T836" t="str">
        <f>"https://portaletrasparenza.consorziobacchiglione.it/dettagli/attodigara/824/abbonamento-triennale-al-servizio-italpos.html"</f>
        <v>https://portaletrasparenza.consorziobacchiglione.it/dettagli/attodigara/824/abbonamento-triennale-al-servizio-italpos.html</v>
      </c>
      <c r="U836" t="str">
        <f>""</f>
        <v/>
      </c>
      <c r="V8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37" spans="1:22" x14ac:dyDescent="0.3">
      <c r="A837" t="str">
        <f>"Affidamento"</f>
        <v>Affidamento</v>
      </c>
      <c r="B837" t="str">
        <f>"Fornitura cancello due ante in tubolare zincato a caldo su scolo diramazione Malgaro."</f>
        <v>Fornitura cancello due ante in tubolare zincato a caldo su scolo diramazione Malgaro.</v>
      </c>
      <c r="C837" t="str">
        <f>"ZEA1B98AA4"</f>
        <v>ZEA1B98AA4</v>
      </c>
      <c r="D837" t="str">
        <f>"04/11/2021"</f>
        <v>04/11/2021</v>
      </c>
      <c r="E837" t="str">
        <f>""</f>
        <v/>
      </c>
      <c r="F837" t="str">
        <f>""</f>
        <v/>
      </c>
      <c r="G837" t="str">
        <f>"665.45"</f>
        <v>665.45</v>
      </c>
      <c r="H837" t="str">
        <f>"Consorzio di bonifica Bacchiglione"</f>
        <v>Consorzio di bonifica Bacchiglione</v>
      </c>
      <c r="I837" t="str">
        <f>"92223390284"</f>
        <v>92223390284</v>
      </c>
      <c r="J837" t="str">
        <f>"23-AFFIDAMENTO DIRETTO"</f>
        <v>23-AFFIDAMENTO DIRETTO</v>
      </c>
      <c r="K837" t="str">
        <f>"14/10/2021"</f>
        <v>14/10/2021</v>
      </c>
      <c r="L837" t="str">
        <f>"20/09/2021"</f>
        <v>20/09/2021</v>
      </c>
      <c r="M837" t="str">
        <f>""</f>
        <v/>
      </c>
      <c r="N837" t="str">
        <f>"Convento Claudio Via III^ Strada 3 Z.A. 30010 Campolongo Maggiore VE"</f>
        <v>Convento Claudio Via III^ Strada 3 Z.A. 30010 Campolongo Maggiore VE</v>
      </c>
      <c r="O837" t="str">
        <f>"Convento Claudio Via III^ Strada 3 Z.A. 30010 Campolongo Maggiore VE"</f>
        <v>Convento Claudio Via III^ Strada 3 Z.A. 30010 Campolongo Maggiore VE</v>
      </c>
      <c r="P837" t="str">
        <f>"ZEA1B98AA4: [600.00€ ]"</f>
        <v>ZEA1B98AA4: [600.00€ ]</v>
      </c>
      <c r="Q837" t="str">
        <f>""</f>
        <v/>
      </c>
      <c r="R837" t="str">
        <f>""</f>
        <v/>
      </c>
      <c r="S837" t="str">
        <f>""</f>
        <v/>
      </c>
      <c r="T837" t="str">
        <f>"https://portaletrasparenza.consorziobacchiglione.it/dettagli/attodigara/829/fornitura-cancello-due-ante-in-tubolare-zincato-a-caldo-su-scolo-diramazione-malgaro.html"</f>
        <v>https://portaletrasparenza.consorziobacchiglione.it/dettagli/attodigara/829/fornitura-cancello-due-ante-in-tubolare-zincato-a-caldo-su-scolo-diramazione-malgaro.html</v>
      </c>
      <c r="U837" t="str">
        <f>""</f>
        <v/>
      </c>
      <c r="V837">
        <f>(SUBSTITUTE(Tabella1[[#This Row],[Importo di aggiudicazione]],".",","))-(SUBSTITUTE(  SUBSTITUTE(          SUBSTITUTE(Tabella1[[#This Row],[Dettaglio somme liquidate]],Tabella1[[#This Row],[CIG]]&amp;": [",""),"€ ]",""),".",","))</f>
        <v>65.450000000000045</v>
      </c>
    </row>
    <row r="838" spans="1:22" x14ac:dyDescent="0.3">
      <c r="A838" t="str">
        <f>"Affidamento"</f>
        <v>Affidamento</v>
      </c>
      <c r="B838" t="str">
        <f>"Interventi strutturali in rete minore di bonifica. Ricalibratura di reti di bonifica gestione di invasi e recapito finale nel bacino Noventana - 2° Stralcio - Somme a disposizione dell Amministrazione - ADEGUAMENTO ED AUTOMAZIONE IMPIANTO IDROVO"</f>
        <v>Interventi strutturali in rete minore di bonifica. Ricalibratura di reti di bonifica gestione di invasi e recapito finale nel bacino Noventana - 2° Stralcio - Somme a disposizione dell Amministrazione - ADEGUAMENTO ED AUTOMAZIONE IMPIANTO IDROVO</v>
      </c>
      <c r="C838" t="str">
        <f>"8852341EE0"</f>
        <v>8852341EE0</v>
      </c>
      <c r="D838" t="str">
        <f>"13/09/2021"</f>
        <v>13/09/2021</v>
      </c>
      <c r="E838" t="str">
        <f>""</f>
        <v/>
      </c>
      <c r="F838" t="str">
        <f>""</f>
        <v/>
      </c>
      <c r="G838" t="str">
        <f>"59558.50"</f>
        <v>59558.50</v>
      </c>
      <c r="H838" t="str">
        <f>"Consorzio di bonifica Bacchiglione"</f>
        <v>Consorzio di bonifica Bacchiglione</v>
      </c>
      <c r="I838" t="str">
        <f>"92223390284"</f>
        <v>92223390284</v>
      </c>
      <c r="J838" t="str">
        <f>"23-AFFIDAMENTO DIRETTO"</f>
        <v>23-AFFIDAMENTO DIRETTO</v>
      </c>
      <c r="K838" t="str">
        <f>"14/10/2021"</f>
        <v>14/10/2021</v>
      </c>
      <c r="L838" t="str">
        <f>"04/08/2022"</f>
        <v>04/08/2022</v>
      </c>
      <c r="M838" t="str">
        <f>""</f>
        <v/>
      </c>
      <c r="N838" t="str">
        <f>"B.T.B. Elettroidraulica S.r.l. | Bozza e Cervellin s.r.l. | A.I.E.M. s.r.l. | BOSCARO PASQUALINO | CROSERA IMPIANTI S.R.L."</f>
        <v>B.T.B. Elettroidraulica S.r.l. | Bozza e Cervellin s.r.l. | A.I.E.M. s.r.l. | BOSCARO PASQUALINO | CROSERA IMPIANTI S.R.L.</v>
      </c>
      <c r="O838" t="str">
        <f>"Bozza e Cervellin s.r.l."</f>
        <v>Bozza e Cervellin s.r.l.</v>
      </c>
      <c r="P838" t="str">
        <f>"8852341EE0: [59558.50€ ]"</f>
        <v>8852341EE0: [59558.50€ ]</v>
      </c>
      <c r="Q838" t="str">
        <f>""</f>
        <v/>
      </c>
      <c r="R838" t="str">
        <f>""</f>
        <v/>
      </c>
      <c r="S838" t="str">
        <f>""</f>
        <v/>
      </c>
      <c r="T838" t="s">
        <v>85</v>
      </c>
      <c r="U838" t="str">
        <f>"https://portaletrasparenza.consorziobacchiglione.it/download/attodigara/6500/63ac45c3a8134.PDF"</f>
        <v>https://portaletrasparenza.consorziobacchiglione.it/download/attodigara/6500/63ac45c3a8134.PDF</v>
      </c>
      <c r="V83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39" spans="1:22" x14ac:dyDescent="0.3">
      <c r="A839" t="str">
        <f>"Affidamento"</f>
        <v>Affidamento</v>
      </c>
      <c r="B839" t="str">
        <f>"Noleggio escavatore Volvo ECR88D per lavori presso scolo Barbaro (Due Carrare)"</f>
        <v>Noleggio escavatore Volvo ECR88D per lavori presso scolo Barbaro (Due Carrare)</v>
      </c>
      <c r="C839" t="str">
        <f>"Z673377408"</f>
        <v>Z673377408</v>
      </c>
      <c r="D839" t="str">
        <f>"19/10/2021"</f>
        <v>19/10/2021</v>
      </c>
      <c r="E839" t="str">
        <f>""</f>
        <v/>
      </c>
      <c r="F839" t="str">
        <f>""</f>
        <v/>
      </c>
      <c r="G839" t="str">
        <f>"972.25"</f>
        <v>972.25</v>
      </c>
      <c r="H839" t="str">
        <f>"Consorzio di bonifica Bacchiglione"</f>
        <v>Consorzio di bonifica Bacchiglione</v>
      </c>
      <c r="I839" t="str">
        <f>"92223390284"</f>
        <v>92223390284</v>
      </c>
      <c r="J839" t="str">
        <f>"23-AFFIDAMENTO DIRETTO"</f>
        <v>23-AFFIDAMENTO DIRETTO</v>
      </c>
      <c r="K839" t="str">
        <f>"14/10/2021"</f>
        <v>14/10/2021</v>
      </c>
      <c r="L839" t="str">
        <f>"31/10/2021"</f>
        <v>31/10/2021</v>
      </c>
      <c r="M839" t="str">
        <f>""</f>
        <v/>
      </c>
      <c r="N839" t="str">
        <f>"Foredil S.r.l. Via E.Fermi, 22 - 35030 Sarmeola di Rubano (PD)"</f>
        <v>Foredil S.r.l. Via E.Fermi, 22 - 35030 Sarmeola di Rubano (PD)</v>
      </c>
      <c r="O839" t="str">
        <f>"Foredil S.r.l. Via E.Fermi, 22 - 35030 Sarmeola di Rubano (PD)"</f>
        <v>Foredil S.r.l. Via E.Fermi, 22 - 35030 Sarmeola di Rubano (PD)</v>
      </c>
      <c r="P839" t="s">
        <v>240</v>
      </c>
      <c r="Q839" t="str">
        <f>""</f>
        <v/>
      </c>
      <c r="R839" t="str">
        <f>""</f>
        <v/>
      </c>
      <c r="S839" t="str">
        <f>""</f>
        <v/>
      </c>
      <c r="T839" t="str">
        <f>"https://portaletrasparenza.consorziobacchiglione.it/dettagli/attodigara/7214/noleggio-escavatore-volvo-ecr88d-per-lavori-presso-scolo-barbaro-due-carrare.html"</f>
        <v>https://portaletrasparenza.consorziobacchiglione.it/dettagli/attodigara/7214/noleggio-escavatore-volvo-ecr88d-per-lavori-presso-scolo-barbaro-due-carrare.html</v>
      </c>
      <c r="U839" t="str">
        <f>"https://portaletrasparenza.consorziobacchiglione.it/download/attodigara/7214/63ac45dad04b7.PDF"</f>
        <v>https://portaletrasparenza.consorziobacchiglione.it/download/attodigara/7214/63ac45dad04b7.PDF</v>
      </c>
      <c r="V8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40" spans="1:22" x14ac:dyDescent="0.3">
      <c r="A840" t="str">
        <f>"Affidamento"</f>
        <v>Affidamento</v>
      </c>
      <c r="B840" t="str">
        <f>"Fornitura ricambi e dotazioni per decespugliatore e motosega presso Bacino Montà Portello"</f>
        <v>Fornitura ricambi e dotazioni per decespugliatore e motosega presso Bacino Montà Portello</v>
      </c>
      <c r="C840" t="str">
        <f>"Z783378461"</f>
        <v>Z783378461</v>
      </c>
      <c r="D840" t="str">
        <f>"19/10/2021"</f>
        <v>19/10/2021</v>
      </c>
      <c r="E840" t="str">
        <f>""</f>
        <v/>
      </c>
      <c r="F840" t="str">
        <f>""</f>
        <v/>
      </c>
      <c r="G840" t="str">
        <f>"143.61"</f>
        <v>143.61</v>
      </c>
      <c r="H840" t="str">
        <f>"Consorzio di bonifica Bacchiglione"</f>
        <v>Consorzio di bonifica Bacchiglione</v>
      </c>
      <c r="I840" t="str">
        <f>"92223390284"</f>
        <v>92223390284</v>
      </c>
      <c r="J840" t="str">
        <f>"23-AFFIDAMENTO DIRETTO"</f>
        <v>23-AFFIDAMENTO DIRETTO</v>
      </c>
      <c r="K840" t="str">
        <f>"14/10/2021"</f>
        <v>14/10/2021</v>
      </c>
      <c r="L840" t="str">
        <f>"09/11/2021"</f>
        <v>09/11/2021</v>
      </c>
      <c r="M840" t="str">
        <f>""</f>
        <v/>
      </c>
      <c r="N840" t="str">
        <f>"Berto Guerrino snc Via Caovilla 27-B 35020 Saonara PD"</f>
        <v>Berto Guerrino snc Via Caovilla 27-B 35020 Saonara PD</v>
      </c>
      <c r="O840" t="str">
        <f>"Berto Guerrino snc Via Caovilla 27-B 35020 Saonara PD"</f>
        <v>Berto Guerrino snc Via Caovilla 27-B 35020 Saonara PD</v>
      </c>
      <c r="P840" t="str">
        <f>"Z783378461: [143.61€ ]"</f>
        <v>Z783378461: [143.61€ ]</v>
      </c>
      <c r="Q840" t="str">
        <f>""</f>
        <v/>
      </c>
      <c r="R840" t="str">
        <f>""</f>
        <v/>
      </c>
      <c r="S840" t="str">
        <f>""</f>
        <v/>
      </c>
      <c r="T840" t="str">
        <f>"https://portaletrasparenza.consorziobacchiglione.it/dettagli/attodigara/7217/fornitura-ricambi-e-dotazioni-per-decespugliatore-e-motosega-presso-bacino-monta-portello.html"</f>
        <v>https://portaletrasparenza.consorziobacchiglione.it/dettagli/attodigara/7217/fornitura-ricambi-e-dotazioni-per-decespugliatore-e-motosega-presso-bacino-monta-portello.html</v>
      </c>
      <c r="U840" t="str">
        <f>"https://portaletrasparenza.consorziobacchiglione.it/download/attodigara/7217/63ac45db96920.PDF"</f>
        <v>https://portaletrasparenza.consorziobacchiglione.it/download/attodigara/7217/63ac45db96920.PDF</v>
      </c>
      <c r="V8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41" spans="1:22" x14ac:dyDescent="0.3">
      <c r="A841" t="str">
        <f>"Affidamento"</f>
        <v>Affidamento</v>
      </c>
      <c r="B841" t="str">
        <f>"Presentazione al Comando VV.F. di Padova dell'istanza di rinnovo periodico conformità antincendio per gruppo elettrogeno presso Idrovora Fogolana."</f>
        <v>Presentazione al Comando VV.F. di Padova dell'istanza di rinnovo periodico conformità antincendio per gruppo elettrogeno presso Idrovora Fogolana.</v>
      </c>
      <c r="C841" t="str">
        <f>"ZC933783A9"</f>
        <v>ZC933783A9</v>
      </c>
      <c r="D841" t="str">
        <f>"19/10/2021"</f>
        <v>19/10/2021</v>
      </c>
      <c r="E841" t="str">
        <f>""</f>
        <v/>
      </c>
      <c r="F841" t="str">
        <f>""</f>
        <v/>
      </c>
      <c r="G841" t="str">
        <f>"735.00"</f>
        <v>735.00</v>
      </c>
      <c r="H841" t="str">
        <f>"Consorzio di bonifica Bacchiglione"</f>
        <v>Consorzio di bonifica Bacchiglione</v>
      </c>
      <c r="I841" t="str">
        <f>"92223390284"</f>
        <v>92223390284</v>
      </c>
      <c r="J841" t="str">
        <f>"23-AFFIDAMENTO DIRETTO"</f>
        <v>23-AFFIDAMENTO DIRETTO</v>
      </c>
      <c r="K841" t="str">
        <f>"14/10/2021"</f>
        <v>14/10/2021</v>
      </c>
      <c r="L841" t="str">
        <f>"21/12/2021"</f>
        <v>21/12/2021</v>
      </c>
      <c r="M841" t="str">
        <f>""</f>
        <v/>
      </c>
      <c r="N841" t="str">
        <f>"Novatecno Studio Associato Via Mazzini 8 36040 Grisignano di Zocco VI"</f>
        <v>Novatecno Studio Associato Via Mazzini 8 36040 Grisignano di Zocco VI</v>
      </c>
      <c r="O841" t="str">
        <f>"Novatecno Studio Associato Via Mazzini 8 36040 Grisignano di Zocco VI"</f>
        <v>Novatecno Studio Associato Via Mazzini 8 36040 Grisignano di Zocco VI</v>
      </c>
      <c r="P841" t="str">
        <f>"ZC933783A9: [735.00€ ]"</f>
        <v>ZC933783A9: [735.00€ ]</v>
      </c>
      <c r="Q841" t="str">
        <f>""</f>
        <v/>
      </c>
      <c r="R841" t="str">
        <f>""</f>
        <v/>
      </c>
      <c r="S841" t="str">
        <f>""</f>
        <v/>
      </c>
      <c r="T841" t="str">
        <f>"https://portaletrasparenza.consorziobacchiglione.it/dettagli/attodigara/7216/presentazione-al-comando-vv-f-di-padova-dell-istanza-di-rinnovo-periodico-conformita-antincendio-per-gruppo-elettrogeno-presso-idrovora-fogolana.html"</f>
        <v>https://portaletrasparenza.consorziobacchiglione.it/dettagli/attodigara/7216/presentazione-al-comando-vv-f-di-padova-dell-istanza-di-rinnovo-periodico-conformita-antincendio-per-gruppo-elettrogeno-presso-idrovora-fogolana.html</v>
      </c>
      <c r="U841" t="str">
        <f>"https://portaletrasparenza.consorziobacchiglione.it/download/attodigara/7216/63ac45db5dab7.PDF"</f>
        <v>https://portaletrasparenza.consorziobacchiglione.it/download/attodigara/7216/63ac45db5dab7.PDF</v>
      </c>
      <c r="V84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42" spans="1:22" x14ac:dyDescent="0.3">
      <c r="A842" t="str">
        <f>"Affidamento"</f>
        <v>Affidamento</v>
      </c>
      <c r="B842" t="str">
        <f>"Revisione elettropompa FLYGT 15,5 KW presso Idrovora Zena"</f>
        <v>Revisione elettropompa FLYGT 15,5 KW presso Idrovora Zena</v>
      </c>
      <c r="C842" t="str">
        <f>"Z323378038"</f>
        <v>Z323378038</v>
      </c>
      <c r="D842" t="str">
        <f>"19/10/2021"</f>
        <v>19/10/2021</v>
      </c>
      <c r="E842" t="str">
        <f>""</f>
        <v/>
      </c>
      <c r="F842" t="str">
        <f>""</f>
        <v/>
      </c>
      <c r="G842" t="str">
        <f>"3188.00"</f>
        <v>3188.00</v>
      </c>
      <c r="H842" t="str">
        <f>"Consorzio di bonifica Bacchiglione"</f>
        <v>Consorzio di bonifica Bacchiglione</v>
      </c>
      <c r="I842" t="str">
        <f>"92223390284"</f>
        <v>92223390284</v>
      </c>
      <c r="J842" t="str">
        <f>"23-AFFIDAMENTO DIRETTO"</f>
        <v>23-AFFIDAMENTO DIRETTO</v>
      </c>
      <c r="K842" t="str">
        <f>"14/10/2021"</f>
        <v>14/10/2021</v>
      </c>
      <c r="L842" t="str">
        <f>"23/11/2021"</f>
        <v>23/11/2021</v>
      </c>
      <c r="M842" t="str">
        <f>""</f>
        <v/>
      </c>
      <c r="N842" t="str">
        <f>"Xylem Water Solutions Italia S.r.l. Via Gioacchino Rossini 1A 20020 Lainate MI"</f>
        <v>Xylem Water Solutions Italia S.r.l. Via Gioacchino Rossini 1A 20020 Lainate MI</v>
      </c>
      <c r="O842" t="str">
        <f>"Xylem Water Solutions Italia S.r.l. Via Gioacchino Rossini 1A 20020 Lainate MI"</f>
        <v>Xylem Water Solutions Italia S.r.l. Via Gioacchino Rossini 1A 20020 Lainate MI</v>
      </c>
      <c r="P842" t="str">
        <f>"Z323378038: [3188.00€ ]"</f>
        <v>Z323378038: [3188.00€ ]</v>
      </c>
      <c r="Q842" t="str">
        <f>""</f>
        <v/>
      </c>
      <c r="R842" t="str">
        <f>""</f>
        <v/>
      </c>
      <c r="S842" t="str">
        <f>""</f>
        <v/>
      </c>
      <c r="T842" t="str">
        <f>"https://portaletrasparenza.consorziobacchiglione.it/dettagli/attodigara/7215/revisione-elettropompa-flygt-15-5-kw-presso-idrovora-zena.html"</f>
        <v>https://portaletrasparenza.consorziobacchiglione.it/dettagli/attodigara/7215/revisione-elettropompa-flygt-15-5-kw-presso-idrovora-zena.html</v>
      </c>
      <c r="U842" t="str">
        <f>"https://portaletrasparenza.consorziobacchiglione.it/download/attodigara/7215/63ac45db16c99.PDF"</f>
        <v>https://portaletrasparenza.consorziobacchiglione.it/download/attodigara/7215/63ac45db16c99.PDF</v>
      </c>
      <c r="V8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43" spans="1:22" x14ac:dyDescent="0.3">
      <c r="A843" t="str">
        <f>"Affidamento"</f>
        <v>Affidamento</v>
      </c>
      <c r="B843" t="str">
        <f>"Lavoro di messa in sicurezza con la chiusura box trasformatori mediante lamiere forate e sagomate Idrovora di Lova."</f>
        <v>Lavoro di messa in sicurezza con la chiusura box trasformatori mediante lamiere forate e sagomate Idrovora di Lova.</v>
      </c>
      <c r="C843" t="str">
        <f>"Z2F1C00437"</f>
        <v>Z2F1C00437</v>
      </c>
      <c r="D843" t="str">
        <f>"04/11/2021"</f>
        <v>04/11/2021</v>
      </c>
      <c r="E843" t="str">
        <f>""</f>
        <v/>
      </c>
      <c r="F843" t="str">
        <f>""</f>
        <v/>
      </c>
      <c r="G843" t="str">
        <f>"750.00"</f>
        <v>750.00</v>
      </c>
      <c r="H843" t="str">
        <f>"Consorzio di bonifica Bacchiglione"</f>
        <v>Consorzio di bonifica Bacchiglione</v>
      </c>
      <c r="I843" t="str">
        <f>"92223390284"</f>
        <v>92223390284</v>
      </c>
      <c r="J843" t="str">
        <f>"23-AFFIDAMENTO DIRETTO"</f>
        <v>23-AFFIDAMENTO DIRETTO</v>
      </c>
      <c r="K843" t="str">
        <f>"14/11/2021"</f>
        <v>14/11/2021</v>
      </c>
      <c r="L843" t="str">
        <f>"04/01/2021"</f>
        <v>04/01/2021</v>
      </c>
      <c r="M843" t="str">
        <f>""</f>
        <v/>
      </c>
      <c r="N843" t="str">
        <f>"Convento Claudio Via III^ Strada 3 Z.A. 30010 Campolongo Maggiore VE"</f>
        <v>Convento Claudio Via III^ Strada 3 Z.A. 30010 Campolongo Maggiore VE</v>
      </c>
      <c r="O843" t="str">
        <f>"Convento Claudio Via III^ Strada 3 Z.A. 30010 Campolongo Maggiore VE"</f>
        <v>Convento Claudio Via III^ Strada 3 Z.A. 30010 Campolongo Maggiore VE</v>
      </c>
      <c r="P843" t="str">
        <f>"Z2F1C00437: [750.00€ ]"</f>
        <v>Z2F1C00437: [750.00€ ]</v>
      </c>
      <c r="Q843" t="str">
        <f>""</f>
        <v/>
      </c>
      <c r="R843" t="str">
        <f>""</f>
        <v/>
      </c>
      <c r="S843" t="str">
        <f>""</f>
        <v/>
      </c>
      <c r="T843" t="str">
        <f>"https://portaletrasparenza.consorziobacchiglione.it/dettagli/attodigara/912/lavoro-di-messa-in-sicurezza-con-la-chiusura-box-trasformatori-mediante-lamiere-forate-e-sagomate-idrovora-di-lova.html"</f>
        <v>https://portaletrasparenza.consorziobacchiglione.it/dettagli/attodigara/912/lavoro-di-messa-in-sicurezza-con-la-chiusura-box-trasformatori-mediante-lamiere-forate-e-sagomate-idrovora-di-lova.html</v>
      </c>
      <c r="U843" t="str">
        <f>""</f>
        <v/>
      </c>
      <c r="V84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44" spans="1:22" x14ac:dyDescent="0.3">
      <c r="A844" t="str">
        <f>"Affidamento"</f>
        <v>Affidamento</v>
      </c>
      <c r="B844" t="str">
        <f>"Fornitura materiale edile per Bacino Pratiarcati."</f>
        <v>Fornitura materiale edile per Bacino Pratiarcati.</v>
      </c>
      <c r="C844" t="str">
        <f>"Z041C0026E"</f>
        <v>Z041C0026E</v>
      </c>
      <c r="D844" t="str">
        <f>"04/11/2021"</f>
        <v>04/11/2021</v>
      </c>
      <c r="E844" t="str">
        <f>""</f>
        <v/>
      </c>
      <c r="F844" t="str">
        <f>""</f>
        <v/>
      </c>
      <c r="G844" t="str">
        <f>"304.25"</f>
        <v>304.25</v>
      </c>
      <c r="H844" t="str">
        <f>"Consorzio di bonifica Bacchiglione"</f>
        <v>Consorzio di bonifica Bacchiglione</v>
      </c>
      <c r="I844" t="str">
        <f>"92223390284"</f>
        <v>92223390284</v>
      </c>
      <c r="J844" t="str">
        <f>"23-AFFIDAMENTO DIRETTO"</f>
        <v>23-AFFIDAMENTO DIRETTO</v>
      </c>
      <c r="K844" t="str">
        <f>"14/11/2021"</f>
        <v>14/11/2021</v>
      </c>
      <c r="L844" t="str">
        <f>"04/01/2021"</f>
        <v>04/01/2021</v>
      </c>
      <c r="M844" t="str">
        <f>""</f>
        <v/>
      </c>
      <c r="N844" t="str">
        <f>"Materiali Edili Fratelli Donà s.a.s. Via Fossalta 2 35025 Cartura PD"</f>
        <v>Materiali Edili Fratelli Donà s.a.s. Via Fossalta 2 35025 Cartura PD</v>
      </c>
      <c r="O844" t="str">
        <f>"Materiali Edili Fratelli Donà s.a.s. Via Fossalta 2 35025 Cartura PD"</f>
        <v>Materiali Edili Fratelli Donà s.a.s. Via Fossalta 2 35025 Cartura PD</v>
      </c>
      <c r="P844" t="str">
        <f>"Z041C0026E: [304.25€ ]"</f>
        <v>Z041C0026E: [304.25€ ]</v>
      </c>
      <c r="Q844" t="str">
        <f>""</f>
        <v/>
      </c>
      <c r="R844" t="str">
        <f>""</f>
        <v/>
      </c>
      <c r="S844" t="str">
        <f>""</f>
        <v/>
      </c>
      <c r="T844" t="str">
        <f>"https://portaletrasparenza.consorziobacchiglione.it/dettagli/attodigara/911/fornitura-materiale-edile-per-bacino-pratiarcati.html"</f>
        <v>https://portaletrasparenza.consorziobacchiglione.it/dettagli/attodigara/911/fornitura-materiale-edile-per-bacino-pratiarcati.html</v>
      </c>
      <c r="U844" t="str">
        <f>""</f>
        <v/>
      </c>
      <c r="V84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45" spans="1:22" x14ac:dyDescent="0.3">
      <c r="A845" t="str">
        <f>"Affidamento"</f>
        <v>Affidamento</v>
      </c>
      <c r="B845" t="str">
        <f>"Riparazione gruppo girante elettropompa E.P.1 Idrovora Pavariane."</f>
        <v>Riparazione gruppo girante elettropompa E.P.1 Idrovora Pavariane.</v>
      </c>
      <c r="C845" t="str">
        <f>"Z451BFFC6B"</f>
        <v>Z451BFFC6B</v>
      </c>
      <c r="D845" t="str">
        <f>"04/11/2021"</f>
        <v>04/11/2021</v>
      </c>
      <c r="E845" t="str">
        <f>""</f>
        <v/>
      </c>
      <c r="F845" t="str">
        <f>""</f>
        <v/>
      </c>
      <c r="G845" t="str">
        <f>"820.00"</f>
        <v>820.00</v>
      </c>
      <c r="H845" t="str">
        <f>"Consorzio di bonifica Bacchiglione"</f>
        <v>Consorzio di bonifica Bacchiglione</v>
      </c>
      <c r="I845" t="str">
        <f>"92223390284"</f>
        <v>92223390284</v>
      </c>
      <c r="J845" t="str">
        <f>"23-AFFIDAMENTO DIRETTO"</f>
        <v>23-AFFIDAMENTO DIRETTO</v>
      </c>
      <c r="K845" t="str">
        <f>"14/11/2021"</f>
        <v>14/11/2021</v>
      </c>
      <c r="L845" t="str">
        <f>"15/05/2021"</f>
        <v>15/05/2021</v>
      </c>
      <c r="M845" t="str">
        <f>""</f>
        <v/>
      </c>
      <c r="N845" t="str">
        <f>"Officina Biesse S.n.c. Via Matteotti 24 35020 Arzergrande PD"</f>
        <v>Officina Biesse S.n.c. Via Matteotti 24 35020 Arzergrande PD</v>
      </c>
      <c r="O845" t="str">
        <f>"Officina Biesse S.n.c. Via Matteotti 24 35020 Arzergrande PD"</f>
        <v>Officina Biesse S.n.c. Via Matteotti 24 35020 Arzergrande PD</v>
      </c>
      <c r="P845" t="str">
        <f>"Z451BFFC6B: [820.00€ ]"</f>
        <v>Z451BFFC6B: [820.00€ ]</v>
      </c>
      <c r="Q845" t="str">
        <f>""</f>
        <v/>
      </c>
      <c r="R845" t="str">
        <f>""</f>
        <v/>
      </c>
      <c r="S845" t="str">
        <f>""</f>
        <v/>
      </c>
      <c r="T845" t="str">
        <f>"https://portaletrasparenza.consorziobacchiglione.it/dettagli/attodigara/909/riparazione-gruppo-girante-elettropompa-e-p-1-idrovora-pavariane.html"</f>
        <v>https://portaletrasparenza.consorziobacchiglione.it/dettagli/attodigara/909/riparazione-gruppo-girante-elettropompa-e-p-1-idrovora-pavariane.html</v>
      </c>
      <c r="U845" t="str">
        <f>""</f>
        <v/>
      </c>
      <c r="V84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46" spans="1:22" x14ac:dyDescent="0.3">
      <c r="A846" t="str">
        <f>"Affidamento"</f>
        <v>Affidamento</v>
      </c>
      <c r="B846" t="str">
        <f>"Fornitura ed installazione di schede per uscite digitali su centrale allarme per interfacciamento con ponte radio di Padova Controlli Idrovora S.Margherita e Bovolenta."</f>
        <v>Fornitura ed installazione di schede per uscite digitali su centrale allarme per interfacciamento con ponte radio di Padova Controlli Idrovora S.Margherita e Bovolenta.</v>
      </c>
      <c r="C846" t="str">
        <f>"Z141BFF9FF"</f>
        <v>Z141BFF9FF</v>
      </c>
      <c r="D846" t="str">
        <f>"04/11/2021"</f>
        <v>04/11/2021</v>
      </c>
      <c r="E846" t="str">
        <f>""</f>
        <v/>
      </c>
      <c r="F846" t="str">
        <f>""</f>
        <v/>
      </c>
      <c r="G846" t="str">
        <f>"2118.75"</f>
        <v>2118.75</v>
      </c>
      <c r="H846" t="str">
        <f>"Consorzio di bonifica Bacchiglione"</f>
        <v>Consorzio di bonifica Bacchiglione</v>
      </c>
      <c r="I846" t="str">
        <f>"92223390284"</f>
        <v>92223390284</v>
      </c>
      <c r="J846" t="str">
        <f>"23-AFFIDAMENTO DIRETTO"</f>
        <v>23-AFFIDAMENTO DIRETTO</v>
      </c>
      <c r="K846" t="str">
        <f>"14/11/2021"</f>
        <v>14/11/2021</v>
      </c>
      <c r="L846" t="str">
        <f>"05/01/2021"</f>
        <v>05/01/2021</v>
      </c>
      <c r="M846" t="str">
        <f>""</f>
        <v/>
      </c>
      <c r="N846" t="str">
        <f>"Picello s.r.l. V.le del Progresso 14A 35026 Conselve PD"</f>
        <v>Picello s.r.l. V.le del Progresso 14A 35026 Conselve PD</v>
      </c>
      <c r="O846" t="str">
        <f>"Picello s.r.l. V.le del Progresso 14A 35026 Conselve PD"</f>
        <v>Picello s.r.l. V.le del Progresso 14A 35026 Conselve PD</v>
      </c>
      <c r="P846" t="str">
        <f>"Z141BFF9FF: [2118.75€ ]"</f>
        <v>Z141BFF9FF: [2118.75€ ]</v>
      </c>
      <c r="Q846" t="str">
        <f>""</f>
        <v/>
      </c>
      <c r="R846" t="str">
        <f>""</f>
        <v/>
      </c>
      <c r="S846" t="str">
        <f>""</f>
        <v/>
      </c>
      <c r="T846" t="str">
        <f>"https://portaletrasparenza.consorziobacchiglione.it/dettagli/attodigara/908/fornitura-ed-installazione-di-schede-per-uscite-digitali-su-centrale-allarme-per-interfacciamento-con-ponte-radio-di-padova-controlli-idrovora-s-margherita-e-bovolenta.html"</f>
        <v>https://portaletrasparenza.consorziobacchiglione.it/dettagli/attodigara/908/fornitura-ed-installazione-di-schede-per-uscite-digitali-su-centrale-allarme-per-interfacciamento-con-ponte-radio-di-padova-controlli-idrovora-s-margherita-e-bovolenta.html</v>
      </c>
      <c r="U846" t="str">
        <f>""</f>
        <v/>
      </c>
      <c r="V8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47" spans="1:22" x14ac:dyDescent="0.3">
      <c r="A847" t="str">
        <f>"Affidamento"</f>
        <v>Affidamento</v>
      </c>
      <c r="B847" t="str">
        <f>"Lavori di pulizia scolo Circonvallazione di Piove all'interno dell'area Palazzo Gradenigo"</f>
        <v>Lavori di pulizia scolo Circonvallazione di Piove all'interno dell'area Palazzo Gradenigo</v>
      </c>
      <c r="C847" t="str">
        <f>"Z5A1BFF74B"</f>
        <v>Z5A1BFF74B</v>
      </c>
      <c r="D847" t="str">
        <f>"04/11/2021"</f>
        <v>04/11/2021</v>
      </c>
      <c r="E847" t="str">
        <f>""</f>
        <v/>
      </c>
      <c r="F847" t="str">
        <f>""</f>
        <v/>
      </c>
      <c r="G847" t="str">
        <f>"14500.00"</f>
        <v>14500.00</v>
      </c>
      <c r="H847" t="str">
        <f>"Consorzio di bonifica Bacchiglione"</f>
        <v>Consorzio di bonifica Bacchiglione</v>
      </c>
      <c r="I847" t="str">
        <f>"92223390284"</f>
        <v>92223390284</v>
      </c>
      <c r="J847" t="str">
        <f>"23-AFFIDAMENTO DIRETTO"</f>
        <v>23-AFFIDAMENTO DIRETTO</v>
      </c>
      <c r="K847" t="str">
        <f>"14/11/2021"</f>
        <v>14/11/2021</v>
      </c>
      <c r="L847" t="str">
        <f>"05/01/2021"</f>
        <v>05/01/2021</v>
      </c>
      <c r="M847" t="str">
        <f>""</f>
        <v/>
      </c>
      <c r="N847" t="str">
        <f>"Viale Valter Via 1° Maggio 124 30010 Campagna Lupia VE | Agricola Ferro s.n.c. di Ferro Gianni E C. Via Centoni 63 35010 Fratte di S.Giustina in Colle PD | Sgobbi Guido Pietro Via Tripoli 33 30010 Cona VE"</f>
        <v>Viale Valter Via 1° Maggio 124 30010 Campagna Lupia VE | Agricola Ferro s.n.c. di Ferro Gianni E C. Via Centoni 63 35010 Fratte di S.Giustina in Colle PD | Sgobbi Guido Pietro Via Tripoli 33 30010 Cona VE</v>
      </c>
      <c r="O847" t="str">
        <f>"Viale Valter Via 1° Maggio 124 30010 Campagna Lupia VE"</f>
        <v>Viale Valter Via 1° Maggio 124 30010 Campagna Lupia VE</v>
      </c>
      <c r="P847" t="str">
        <f>"Z5A1BFF74B: [14500.00€ ]"</f>
        <v>Z5A1BFF74B: [14500.00€ ]</v>
      </c>
      <c r="Q847" t="str">
        <f>""</f>
        <v/>
      </c>
      <c r="R847" t="str">
        <f>""</f>
        <v/>
      </c>
      <c r="S847" t="str">
        <f>""</f>
        <v/>
      </c>
      <c r="T847" t="str">
        <f>"https://portaletrasparenza.consorziobacchiglione.it/dettagli/attodigara/907/lavori-di-pulizia-scolo-circonvallazione-di-piove-all-interno-dell-area-palazzo-gradenigo.html"</f>
        <v>https://portaletrasparenza.consorziobacchiglione.it/dettagli/attodigara/907/lavori-di-pulizia-scolo-circonvallazione-di-piove-all-interno-dell-area-palazzo-gradenigo.html</v>
      </c>
      <c r="U847" t="str">
        <f>""</f>
        <v/>
      </c>
      <c r="V84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48" spans="1:22" x14ac:dyDescent="0.3">
      <c r="A848" t="str">
        <f>"Affidamento"</f>
        <v>Affidamento</v>
      </c>
      <c r="B848" t="str">
        <f>"Lavoro di taglio pianta e triturazione ceppaia sede Consorziale."</f>
        <v>Lavoro di taglio pianta e triturazione ceppaia sede Consorziale.</v>
      </c>
      <c r="C848" t="str">
        <f>"ZBA1BFF2C6"</f>
        <v>ZBA1BFF2C6</v>
      </c>
      <c r="D848" t="str">
        <f>"04/11/2021"</f>
        <v>04/11/2021</v>
      </c>
      <c r="E848" t="str">
        <f>""</f>
        <v/>
      </c>
      <c r="F848" t="str">
        <f>""</f>
        <v/>
      </c>
      <c r="G848" t="str">
        <f>"500.00"</f>
        <v>500.00</v>
      </c>
      <c r="H848" t="str">
        <f>"Consorzio di bonifica Bacchiglione"</f>
        <v>Consorzio di bonifica Bacchiglione</v>
      </c>
      <c r="I848" t="str">
        <f>"92223390284"</f>
        <v>92223390284</v>
      </c>
      <c r="J848" t="str">
        <f>"23-AFFIDAMENTO DIRETTO"</f>
        <v>23-AFFIDAMENTO DIRETTO</v>
      </c>
      <c r="K848" t="str">
        <f>"14/11/2021"</f>
        <v>14/11/2021</v>
      </c>
      <c r="L848" t="str">
        <f>"04/01/2021"</f>
        <v>04/01/2021</v>
      </c>
      <c r="M848" t="str">
        <f>""</f>
        <v/>
      </c>
      <c r="N848" t="str">
        <f>"Vivai F.lli Berti via S.Martino 46 Cervarese S.Croce PD"</f>
        <v>Vivai F.lli Berti via S.Martino 46 Cervarese S.Croce PD</v>
      </c>
      <c r="O848" t="str">
        <f>"Vivai F.lli Berti via S.Martino 46 Cervarese S.Croce PD"</f>
        <v>Vivai F.lli Berti via S.Martino 46 Cervarese S.Croce PD</v>
      </c>
      <c r="P848" t="str">
        <f>"ZBA1BFF2C6: [500.00€ ]"</f>
        <v>ZBA1BFF2C6: [500.00€ ]</v>
      </c>
      <c r="Q848" t="str">
        <f>""</f>
        <v/>
      </c>
      <c r="R848" t="str">
        <f>""</f>
        <v/>
      </c>
      <c r="S848" t="str">
        <f>""</f>
        <v/>
      </c>
      <c r="T848" t="str">
        <f>"https://portaletrasparenza.consorziobacchiglione.it/dettagli/attodigara/906/lavoro-di-taglio-pianta-e-triturazione-ceppaia-sede-consorziale.html"</f>
        <v>https://portaletrasparenza.consorziobacchiglione.it/dettagli/attodigara/906/lavoro-di-taglio-pianta-e-triturazione-ceppaia-sede-consorziale.html</v>
      </c>
      <c r="U848" t="str">
        <f>""</f>
        <v/>
      </c>
      <c r="V8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49" spans="1:22" x14ac:dyDescent="0.3">
      <c r="A849" t="str">
        <f>"Affidamento"</f>
        <v>Affidamento</v>
      </c>
      <c r="B849" t="str">
        <f>"Riparazione e manutenzione mezzi con targa: EP107XC, DA564ZE."</f>
        <v>Riparazione e manutenzione mezzi con targa: EP107XC, DA564ZE.</v>
      </c>
      <c r="C849" t="str">
        <f>"Z121BFFF57"</f>
        <v>Z121BFFF57</v>
      </c>
      <c r="D849" t="str">
        <f>"04/11/2021"</f>
        <v>04/11/2021</v>
      </c>
      <c r="E849" t="str">
        <f>""</f>
        <v/>
      </c>
      <c r="F849" t="str">
        <f>""</f>
        <v/>
      </c>
      <c r="G849" t="str">
        <f>"150.25"</f>
        <v>150.25</v>
      </c>
      <c r="H849" t="str">
        <f>"Consorzio di bonifica Bacchiglione"</f>
        <v>Consorzio di bonifica Bacchiglione</v>
      </c>
      <c r="I849" t="str">
        <f>"92223390284"</f>
        <v>92223390284</v>
      </c>
      <c r="J849" t="str">
        <f>"23-AFFIDAMENTO DIRETTO"</f>
        <v>23-AFFIDAMENTO DIRETTO</v>
      </c>
      <c r="K849" t="str">
        <f>"14/11/2021"</f>
        <v>14/11/2021</v>
      </c>
      <c r="L849" t="str">
        <f>"16/01/2021"</f>
        <v>16/01/2021</v>
      </c>
      <c r="M849" t="str">
        <f>""</f>
        <v/>
      </c>
      <c r="N849" t="str">
        <f>"Mardegan F.lli s.n.c. Via Argine Destro 13A 35020 Brenta di Correzzola PD"</f>
        <v>Mardegan F.lli s.n.c. Via Argine Destro 13A 35020 Brenta di Correzzola PD</v>
      </c>
      <c r="O849" t="str">
        <f>"Mardegan F.lli s.n.c. Via Argine Destro 13A 35020 Brenta di Correzzola PD"</f>
        <v>Mardegan F.lli s.n.c. Via Argine Destro 13A 35020 Brenta di Correzzola PD</v>
      </c>
      <c r="P849" t="str">
        <f>"Z121BFFF57: [150.24€ ]"</f>
        <v>Z121BFFF57: [150.24€ ]</v>
      </c>
      <c r="Q849" t="str">
        <f>""</f>
        <v/>
      </c>
      <c r="R849" t="str">
        <f>""</f>
        <v/>
      </c>
      <c r="S849" t="str">
        <f>""</f>
        <v/>
      </c>
      <c r="T849" t="str">
        <f>"https://portaletrasparenza.consorziobacchiglione.it/dettagli/attodigara/910/riparazione-e-manutenzione-mezzi-con-targa-ep107xc-da564ze.html"</f>
        <v>https://portaletrasparenza.consorziobacchiglione.it/dettagli/attodigara/910/riparazione-e-manutenzione-mezzi-con-targa-ep107xc-da564ze.html</v>
      </c>
      <c r="U849" t="str">
        <f>""</f>
        <v/>
      </c>
      <c r="V849">
        <f>(SUBSTITUTE(Tabella1[[#This Row],[Importo di aggiudicazione]],".",","))-(SUBSTITUTE(  SUBSTITUTE(          SUBSTITUTE(Tabella1[[#This Row],[Dettaglio somme liquidate]],Tabella1[[#This Row],[CIG]]&amp;": [",""),"€ ]",""),".",","))</f>
        <v>9.9999999999909051E-3</v>
      </c>
    </row>
    <row r="850" spans="1:22" x14ac:dyDescent="0.3">
      <c r="A850" t="str">
        <f>"Affidamento"</f>
        <v>Affidamento</v>
      </c>
      <c r="B850" t="str">
        <f>"Manutenzione, riparazione e lavaggio mezzi con targa: AGK711, AJ206BM, PDAF480, EP107XC, PDAF497, DN881SC, PDAH521."</f>
        <v>Manutenzione, riparazione e lavaggio mezzi con targa: AGK711, AJ206BM, PDAF480, EP107XC, PDAF497, DN881SC, PDAH521.</v>
      </c>
      <c r="C850" t="str">
        <f>"Z861C8450B"</f>
        <v>Z861C8450B</v>
      </c>
      <c r="D850" t="str">
        <f>"04/11/2021"</f>
        <v>04/11/2021</v>
      </c>
      <c r="E850" t="str">
        <f>""</f>
        <v/>
      </c>
      <c r="F850" t="str">
        <f>""</f>
        <v/>
      </c>
      <c r="G850" t="str">
        <f>"1092.00"</f>
        <v>1092.00</v>
      </c>
      <c r="H850" t="str">
        <f>"Consorzio di bonifica Bacchiglione"</f>
        <v>Consorzio di bonifica Bacchiglione</v>
      </c>
      <c r="I850" t="str">
        <f>"92223390284"</f>
        <v>92223390284</v>
      </c>
      <c r="J850" t="str">
        <f>"23-AFFIDAMENTO DIRETTO"</f>
        <v>23-AFFIDAMENTO DIRETTO</v>
      </c>
      <c r="K850" t="str">
        <f>"14/12/2021"</f>
        <v>14/12/2021</v>
      </c>
      <c r="L850" t="str">
        <f>"28/12/2021"</f>
        <v>28/12/2021</v>
      </c>
      <c r="M850" t="str">
        <f>""</f>
        <v/>
      </c>
      <c r="N850" t="str">
        <f>"Officina Biesse S.n.c. Via Matteotti 24 35020 Arzergrande PD"</f>
        <v>Officina Biesse S.n.c. Via Matteotti 24 35020 Arzergrande PD</v>
      </c>
      <c r="O850" t="str">
        <f>"Officina Biesse S.n.c. Via Matteotti 24 35020 Arzergrande PD"</f>
        <v>Officina Biesse S.n.c. Via Matteotti 24 35020 Arzergrande PD</v>
      </c>
      <c r="P850" t="str">
        <f>"Z861C8450B: [1092.00€ ]"</f>
        <v>Z861C8450B: [1092.00€ ]</v>
      </c>
      <c r="Q850" t="str">
        <f>""</f>
        <v/>
      </c>
      <c r="R850" t="str">
        <f>""</f>
        <v/>
      </c>
      <c r="S850" t="str">
        <f>""</f>
        <v/>
      </c>
      <c r="T850" t="str">
        <f>"https://portaletrasparenza.consorziobacchiglione.it/dettagli/attodigara/1004/manutenzione-riparazione-e-lavaggio-mezzi-con-targa-agk711-aj206bm-pdaf480-ep107xc-pdaf497-dn881sc-pdah521.html"</f>
        <v>https://portaletrasparenza.consorziobacchiglione.it/dettagli/attodigara/1004/manutenzione-riparazione-e-lavaggio-mezzi-con-targa-agk711-aj206bm-pdaf480-ep107xc-pdaf497-dn881sc-pdah521.html</v>
      </c>
      <c r="U850" t="str">
        <f>""</f>
        <v/>
      </c>
      <c r="V85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51" spans="1:22" x14ac:dyDescent="0.3">
      <c r="A851" t="str">
        <f>"Affidamento"</f>
        <v>Affidamento</v>
      </c>
      <c r="B851" t="str">
        <f>"Fornitura asfalto a freddo per lavori scolo Schilla e Sostegno ZIP"</f>
        <v>Fornitura asfalto a freddo per lavori scolo Schilla e Sostegno ZIP</v>
      </c>
      <c r="C851" t="str">
        <f>"ZE41C841F2"</f>
        <v>ZE41C841F2</v>
      </c>
      <c r="D851" t="str">
        <f>"04/11/2021"</f>
        <v>04/11/2021</v>
      </c>
      <c r="E851" t="str">
        <f>""</f>
        <v/>
      </c>
      <c r="F851" t="str">
        <f>""</f>
        <v/>
      </c>
      <c r="G851" t="str">
        <f>"800.00"</f>
        <v>800.00</v>
      </c>
      <c r="H851" t="str">
        <f>"Consorzio di bonifica Bacchiglione"</f>
        <v>Consorzio di bonifica Bacchiglione</v>
      </c>
      <c r="I851" t="str">
        <f>"92223390284"</f>
        <v>92223390284</v>
      </c>
      <c r="J851" t="str">
        <f>"23-AFFIDAMENTO DIRETTO"</f>
        <v>23-AFFIDAMENTO DIRETTO</v>
      </c>
      <c r="K851" t="str">
        <f>"14/12/2021"</f>
        <v>14/12/2021</v>
      </c>
      <c r="L851" t="str">
        <f>"31/01/2021"</f>
        <v>31/01/2021</v>
      </c>
      <c r="M851" t="str">
        <f>""</f>
        <v/>
      </c>
      <c r="N851" t="str">
        <f>"Idronord s.r.l. Via delle Industrie 3C 30036 Santa Maria Di Sala VE"</f>
        <v>Idronord s.r.l. Via delle Industrie 3C 30036 Santa Maria Di Sala VE</v>
      </c>
      <c r="O851" t="str">
        <f>"Idronord s.r.l. Via delle Industrie 3C 30036 Santa Maria Di Sala VE"</f>
        <v>Idronord s.r.l. Via delle Industrie 3C 30036 Santa Maria Di Sala VE</v>
      </c>
      <c r="P851" t="str">
        <f>"ZE41C841F2: [800.00€ ]"</f>
        <v>ZE41C841F2: [800.00€ ]</v>
      </c>
      <c r="Q851" t="str">
        <f>""</f>
        <v/>
      </c>
      <c r="R851" t="str">
        <f>""</f>
        <v/>
      </c>
      <c r="S851" t="str">
        <f>""</f>
        <v/>
      </c>
      <c r="T851" t="str">
        <f>"https://portaletrasparenza.consorziobacchiglione.it/dettagli/attodigara/1003/fornitura-asfalto-a-freddo-per-lavori-scolo-schilla-e-sostegno-zip.html"</f>
        <v>https://portaletrasparenza.consorziobacchiglione.it/dettagli/attodigara/1003/fornitura-asfalto-a-freddo-per-lavori-scolo-schilla-e-sostegno-zip.html</v>
      </c>
      <c r="U851" t="str">
        <f>""</f>
        <v/>
      </c>
      <c r="V85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52" spans="1:22" x14ac:dyDescent="0.3">
      <c r="A852" t="str">
        <f>"Affidamento"</f>
        <v>Affidamento</v>
      </c>
      <c r="B852" t="str">
        <f>"Fornitura materiale di ferramenta per C.O.S.Margherita"</f>
        <v>Fornitura materiale di ferramenta per C.O.S.Margherita</v>
      </c>
      <c r="C852" t="str">
        <f>"Z021C83DE6"</f>
        <v>Z021C83DE6</v>
      </c>
      <c r="D852" t="str">
        <f>"04/11/2021"</f>
        <v>04/11/2021</v>
      </c>
      <c r="E852" t="str">
        <f>""</f>
        <v/>
      </c>
      <c r="F852" t="str">
        <f>""</f>
        <v/>
      </c>
      <c r="G852" t="str">
        <f>"335.00"</f>
        <v>335.00</v>
      </c>
      <c r="H852" t="str">
        <f>"Consorzio di bonifica Bacchiglione"</f>
        <v>Consorzio di bonifica Bacchiglione</v>
      </c>
      <c r="I852" t="str">
        <f>"92223390284"</f>
        <v>92223390284</v>
      </c>
      <c r="J852" t="str">
        <f>"23-AFFIDAMENTO DIRETTO"</f>
        <v>23-AFFIDAMENTO DIRETTO</v>
      </c>
      <c r="K852" t="str">
        <f>"14/12/2021"</f>
        <v>14/12/2021</v>
      </c>
      <c r="L852" t="str">
        <f>"12/01/2021"</f>
        <v>12/01/2021</v>
      </c>
      <c r="M852" t="str">
        <f>""</f>
        <v/>
      </c>
      <c r="N852" t="str">
        <f>"Gollo Giovanni Via Vallona 65 35020 Conche di Codevigo PD"</f>
        <v>Gollo Giovanni Via Vallona 65 35020 Conche di Codevigo PD</v>
      </c>
      <c r="O852" t="str">
        <f>"Gollo Giovanni Via Vallona 65 35020 Conche di Codevigo PD"</f>
        <v>Gollo Giovanni Via Vallona 65 35020 Conche di Codevigo PD</v>
      </c>
      <c r="P852" t="str">
        <f>"Z021C83DE6: [335.00€ ]"</f>
        <v>Z021C83DE6: [335.00€ ]</v>
      </c>
      <c r="Q852" t="str">
        <f>""</f>
        <v/>
      </c>
      <c r="R852" t="str">
        <f>""</f>
        <v/>
      </c>
      <c r="S852" t="str">
        <f>""</f>
        <v/>
      </c>
      <c r="T852" t="str">
        <f>"https://portaletrasparenza.consorziobacchiglione.it/dettagli/attodigara/1002/fornitura-materiale-di-ferramenta-per-c-o-s-margherita.html"</f>
        <v>https://portaletrasparenza.consorziobacchiglione.it/dettagli/attodigara/1002/fornitura-materiale-di-ferramenta-per-c-o-s-margherita.html</v>
      </c>
      <c r="U852" t="str">
        <f>""</f>
        <v/>
      </c>
      <c r="V8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53" spans="1:22" x14ac:dyDescent="0.3">
      <c r="A853" t="str">
        <f>"Affidamento"</f>
        <v>Affidamento</v>
      </c>
      <c r="B853" t="str">
        <f>"Fornitura bombola gas per Pirodiserbo Idrovora Vaso Cavaizze"</f>
        <v>Fornitura bombola gas per Pirodiserbo Idrovora Vaso Cavaizze</v>
      </c>
      <c r="C853" t="str">
        <f>"Z741C83A4F"</f>
        <v>Z741C83A4F</v>
      </c>
      <c r="D853" t="str">
        <f>"04/11/2021"</f>
        <v>04/11/2021</v>
      </c>
      <c r="E853" t="str">
        <f>""</f>
        <v/>
      </c>
      <c r="F853" t="str">
        <f>""</f>
        <v/>
      </c>
      <c r="G853" t="str">
        <f>"33.00"</f>
        <v>33.00</v>
      </c>
      <c r="H853" t="str">
        <f>"Consorzio di bonifica Bacchiglione"</f>
        <v>Consorzio di bonifica Bacchiglione</v>
      </c>
      <c r="I853" t="str">
        <f>"92223390284"</f>
        <v>92223390284</v>
      </c>
      <c r="J853" t="str">
        <f>"23-AFFIDAMENTO DIRETTO"</f>
        <v>23-AFFIDAMENTO DIRETTO</v>
      </c>
      <c r="K853" t="str">
        <f>"14/12/2021"</f>
        <v>14/12/2021</v>
      </c>
      <c r="L853" t="str">
        <f>"12/01/2021"</f>
        <v>12/01/2021</v>
      </c>
      <c r="M853" t="str">
        <f>""</f>
        <v/>
      </c>
      <c r="N853" t="str">
        <f>"Gollo Giovanni Via Vallona 65 35020 Conche di Codevigo PD"</f>
        <v>Gollo Giovanni Via Vallona 65 35020 Conche di Codevigo PD</v>
      </c>
      <c r="O853" t="str">
        <f>"Gollo Giovanni Via Vallona 65 35020 Conche di Codevigo PD"</f>
        <v>Gollo Giovanni Via Vallona 65 35020 Conche di Codevigo PD</v>
      </c>
      <c r="P853" t="str">
        <f>"Z741C83A4F: [33.00€ ]"</f>
        <v>Z741C83A4F: [33.00€ ]</v>
      </c>
      <c r="Q853" t="str">
        <f>""</f>
        <v/>
      </c>
      <c r="R853" t="str">
        <f>""</f>
        <v/>
      </c>
      <c r="S853" t="str">
        <f>""</f>
        <v/>
      </c>
      <c r="T853" t="str">
        <f>"https://portaletrasparenza.consorziobacchiglione.it/dettagli/attodigara/1001/fornitura-bombola-gas-per-pirodiserbo-idrovora-vaso-cavaizze.html"</f>
        <v>https://portaletrasparenza.consorziobacchiglione.it/dettagli/attodigara/1001/fornitura-bombola-gas-per-pirodiserbo-idrovora-vaso-cavaizze.html</v>
      </c>
      <c r="U853" t="str">
        <f>""</f>
        <v/>
      </c>
      <c r="V8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54" spans="1:22" x14ac:dyDescent="0.3">
      <c r="A854" t="str">
        <f>"Affidamento"</f>
        <v>Affidamento</v>
      </c>
      <c r="B854" t="str">
        <f>"Fornitura sedile per wc in legno bianco sede Consorziale."</f>
        <v>Fornitura sedile per wc in legno bianco sede Consorziale.</v>
      </c>
      <c r="C854" t="str">
        <f>"ZB71C836CC"</f>
        <v>ZB71C836CC</v>
      </c>
      <c r="D854" t="str">
        <f>"04/11/2021"</f>
        <v>04/11/2021</v>
      </c>
      <c r="E854" t="str">
        <f>""</f>
        <v/>
      </c>
      <c r="F854" t="str">
        <f>""</f>
        <v/>
      </c>
      <c r="G854" t="str">
        <f>"98.00"</f>
        <v>98.00</v>
      </c>
      <c r="H854" t="str">
        <f>"Consorzio di bonifica Bacchiglione"</f>
        <v>Consorzio di bonifica Bacchiglione</v>
      </c>
      <c r="I854" t="str">
        <f>"92223390284"</f>
        <v>92223390284</v>
      </c>
      <c r="J854" t="str">
        <f>"23-AFFIDAMENTO DIRETTO"</f>
        <v>23-AFFIDAMENTO DIRETTO</v>
      </c>
      <c r="K854" t="str">
        <f>"14/12/2021"</f>
        <v>14/12/2021</v>
      </c>
      <c r="L854" t="str">
        <f>"29/12/2021"</f>
        <v>29/12/2021</v>
      </c>
      <c r="M854" t="str">
        <f>""</f>
        <v/>
      </c>
      <c r="N854" t="str">
        <f>"Giraldo Impianti SNC di Giraldo Danilo e Silvio Via Flli Cervi 1-II 30010 Campolongo Maggiore VE"</f>
        <v>Giraldo Impianti SNC di Giraldo Danilo e Silvio Via Flli Cervi 1-II 30010 Campolongo Maggiore VE</v>
      </c>
      <c r="O854" t="str">
        <f>"Giraldo Impianti SNC di Giraldo Danilo e Silvio Via Flli Cervi 1-II 30010 Campolongo Maggiore VE"</f>
        <v>Giraldo Impianti SNC di Giraldo Danilo e Silvio Via Flli Cervi 1-II 30010 Campolongo Maggiore VE</v>
      </c>
      <c r="P854" t="str">
        <f>"ZB71C836CC: [98.00€ ]"</f>
        <v>ZB71C836CC: [98.00€ ]</v>
      </c>
      <c r="Q854" t="str">
        <f>""</f>
        <v/>
      </c>
      <c r="R854" t="str">
        <f>""</f>
        <v/>
      </c>
      <c r="S854" t="str">
        <f>""</f>
        <v/>
      </c>
      <c r="T854" t="str">
        <f>"https://portaletrasparenza.consorziobacchiglione.it/dettagli/attodigara/1000/fornitura-sedile-per-wc-in-legno-bianco-sede-consorziale.html"</f>
        <v>https://portaletrasparenza.consorziobacchiglione.it/dettagli/attodigara/1000/fornitura-sedile-per-wc-in-legno-bianco-sede-consorziale.html</v>
      </c>
      <c r="U854" t="str">
        <f>""</f>
        <v/>
      </c>
      <c r="V8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55" spans="1:22" x14ac:dyDescent="0.3">
      <c r="A855" t="str">
        <f>"Affidamento"</f>
        <v>Affidamento</v>
      </c>
      <c r="B855" t="str">
        <f>"Fornitura coppia foderine e tappetini in gomma per mezzo con targa: FF284VN"</f>
        <v>Fornitura coppia foderine e tappetini in gomma per mezzo con targa: FF284VN</v>
      </c>
      <c r="C855" t="str">
        <f>"ZF31C83457"</f>
        <v>ZF31C83457</v>
      </c>
      <c r="D855" t="str">
        <f>"04/11/2021"</f>
        <v>04/11/2021</v>
      </c>
      <c r="E855" t="str">
        <f>""</f>
        <v/>
      </c>
      <c r="F855" t="str">
        <f>""</f>
        <v/>
      </c>
      <c r="G855" t="str">
        <f>"33.55"</f>
        <v>33.55</v>
      </c>
      <c r="H855" t="str">
        <f>"Consorzio di bonifica Bacchiglione"</f>
        <v>Consorzio di bonifica Bacchiglione</v>
      </c>
      <c r="I855" t="str">
        <f>"92223390284"</f>
        <v>92223390284</v>
      </c>
      <c r="J855" t="str">
        <f>"23-AFFIDAMENTO DIRETTO"</f>
        <v>23-AFFIDAMENTO DIRETTO</v>
      </c>
      <c r="K855" t="str">
        <f>"14/12/2021"</f>
        <v>14/12/2021</v>
      </c>
      <c r="L855" t="str">
        <f>"28/12/2021"</f>
        <v>28/12/2021</v>
      </c>
      <c r="M855" t="str">
        <f>""</f>
        <v/>
      </c>
      <c r="N855" t="str">
        <f>"Autoricambi s.n.c. di Mardegan Paolo e Manfron Veronica Via A.Valerio 26-28 Piove di Sacco PD"</f>
        <v>Autoricambi s.n.c. di Mardegan Paolo e Manfron Veronica Via A.Valerio 26-28 Piove di Sacco PD</v>
      </c>
      <c r="O855" t="str">
        <f>"Autoricambi s.n.c. di Mardegan Paolo e Manfron Veronica Via A.Valerio 26-28 Piove di Sacco PD"</f>
        <v>Autoricambi s.n.c. di Mardegan Paolo e Manfron Veronica Via A.Valerio 26-28 Piove di Sacco PD</v>
      </c>
      <c r="P855" t="str">
        <f>"ZF31C83457: [33.55€ ]"</f>
        <v>ZF31C83457: [33.55€ ]</v>
      </c>
      <c r="Q855" t="str">
        <f>""</f>
        <v/>
      </c>
      <c r="R855" t="str">
        <f>""</f>
        <v/>
      </c>
      <c r="S855" t="str">
        <f>""</f>
        <v/>
      </c>
      <c r="T855" t="str">
        <f>"https://portaletrasparenza.consorziobacchiglione.it/dettagli/attodigara/999/fornitura-coppia-foderine-e-tappetini-in-gomma-per-mezzo-con-targa-ff284vn.html"</f>
        <v>https://portaletrasparenza.consorziobacchiglione.it/dettagli/attodigara/999/fornitura-coppia-foderine-e-tappetini-in-gomma-per-mezzo-con-targa-ff284vn.html</v>
      </c>
      <c r="U855" t="str">
        <f>""</f>
        <v/>
      </c>
      <c r="V8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56" spans="1:22" x14ac:dyDescent="0.3">
      <c r="A856" t="str">
        <f>"Affidamento"</f>
        <v>Affidamento</v>
      </c>
      <c r="B856" t="str">
        <f>"Riparazione e manutenzione mezzo con targa : PDAH521"</f>
        <v>Riparazione e manutenzione mezzo con targa : PDAH521</v>
      </c>
      <c r="C856" t="str">
        <f>"ZD71C82FBC"</f>
        <v>ZD71C82FBC</v>
      </c>
      <c r="D856" t="str">
        <f>"04/11/2021"</f>
        <v>04/11/2021</v>
      </c>
      <c r="E856" t="str">
        <f>""</f>
        <v/>
      </c>
      <c r="F856" t="str">
        <f>""</f>
        <v/>
      </c>
      <c r="G856" t="str">
        <f>"7092.21"</f>
        <v>7092.21</v>
      </c>
      <c r="H856" t="str">
        <f>"Consorzio di bonifica Bacchiglione"</f>
        <v>Consorzio di bonifica Bacchiglione</v>
      </c>
      <c r="I856" t="str">
        <f>"92223390284"</f>
        <v>92223390284</v>
      </c>
      <c r="J856" t="str">
        <f>"23-AFFIDAMENTO DIRETTO"</f>
        <v>23-AFFIDAMENTO DIRETTO</v>
      </c>
      <c r="K856" t="str">
        <f>"14/12/2021"</f>
        <v>14/12/2021</v>
      </c>
      <c r="L856" t="str">
        <f>"30/01/2021"</f>
        <v>30/01/2021</v>
      </c>
      <c r="M856" t="str">
        <f>""</f>
        <v/>
      </c>
      <c r="N856" t="str">
        <f>"Adriatica Commerciale Macchine s.r.l. Via dell'Artigianato 5 35020 Due Carrare PD"</f>
        <v>Adriatica Commerciale Macchine s.r.l. Via dell'Artigianato 5 35020 Due Carrare PD</v>
      </c>
      <c r="O856" t="str">
        <f>"Adriatica Commerciale Macchine s.r.l. Via dell'Artigianato 5 35020 Due Carrare PD"</f>
        <v>Adriatica Commerciale Macchine s.r.l. Via dell'Artigianato 5 35020 Due Carrare PD</v>
      </c>
      <c r="P856" t="str">
        <f>"ZD71C82FBC: [7092.21€ ]"</f>
        <v>ZD71C82FBC: [7092.21€ ]</v>
      </c>
      <c r="Q856" t="str">
        <f>""</f>
        <v/>
      </c>
      <c r="R856" t="str">
        <f>""</f>
        <v/>
      </c>
      <c r="S856" t="str">
        <f>""</f>
        <v/>
      </c>
      <c r="T856" t="str">
        <f>"https://portaletrasparenza.consorziobacchiglione.it/dettagli/attodigara/997/riparazione-e-manutenzione-mezzo-con-targa-pdah521.html"</f>
        <v>https://portaletrasparenza.consorziobacchiglione.it/dettagli/attodigara/997/riparazione-e-manutenzione-mezzo-con-targa-pdah521.html</v>
      </c>
      <c r="U856" t="str">
        <f>""</f>
        <v/>
      </c>
      <c r="V85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57" spans="1:22" x14ac:dyDescent="0.3">
      <c r="A857" t="str">
        <f>"Affidamento"</f>
        <v>Affidamento</v>
      </c>
      <c r="B857" t="str">
        <f>"Riparazione motosega Sthil MS029 n. 9 C.O.S.Margherita"</f>
        <v>Riparazione motosega Sthil MS029 n. 9 C.O.S.Margherita</v>
      </c>
      <c r="C857" t="str">
        <f>"Z921C82DCE"</f>
        <v>Z921C82DCE</v>
      </c>
      <c r="D857" t="str">
        <f>"04/11/2021"</f>
        <v>04/11/2021</v>
      </c>
      <c r="E857" t="str">
        <f>""</f>
        <v/>
      </c>
      <c r="F857" t="str">
        <f>""</f>
        <v/>
      </c>
      <c r="G857" t="str">
        <f>"50.00"</f>
        <v>50.00</v>
      </c>
      <c r="H857" t="str">
        <f>"Consorzio di bonifica Bacchiglione"</f>
        <v>Consorzio di bonifica Bacchiglione</v>
      </c>
      <c r="I857" t="str">
        <f>"92223390284"</f>
        <v>92223390284</v>
      </c>
      <c r="J857" t="str">
        <f>"23-AFFIDAMENTO DIRETTO"</f>
        <v>23-AFFIDAMENTO DIRETTO</v>
      </c>
      <c r="K857" t="str">
        <f>"14/12/2021"</f>
        <v>14/12/2021</v>
      </c>
      <c r="L857" t="str">
        <f>"29/12/2021"</f>
        <v>29/12/2021</v>
      </c>
      <c r="M857" t="str">
        <f>""</f>
        <v/>
      </c>
      <c r="N857" t="str">
        <f>"Frizzarin Riccardo Via Papa Giovanni XXXIII 20 35026 Conselve PD"</f>
        <v>Frizzarin Riccardo Via Papa Giovanni XXXIII 20 35026 Conselve PD</v>
      </c>
      <c r="O857" t="str">
        <f>"Frizzarin Riccardo Via Papa Giovanni XXXIII 20 35026 Conselve PD"</f>
        <v>Frizzarin Riccardo Via Papa Giovanni XXXIII 20 35026 Conselve PD</v>
      </c>
      <c r="P857" t="str">
        <f>"Z921C82DCE: [50.00€ ]"</f>
        <v>Z921C82DCE: [50.00€ ]</v>
      </c>
      <c r="Q857" t="str">
        <f>""</f>
        <v/>
      </c>
      <c r="R857" t="str">
        <f>""</f>
        <v/>
      </c>
      <c r="S857" t="str">
        <f>""</f>
        <v/>
      </c>
      <c r="T857" t="str">
        <f>"https://portaletrasparenza.consorziobacchiglione.it/dettagli/attodigara/996/riparazione-motosega-sthil-ms029-n-9-c-o-s-margherita.html"</f>
        <v>https://portaletrasparenza.consorziobacchiglione.it/dettagli/attodigara/996/riparazione-motosega-sthil-ms029-n-9-c-o-s-margherita.html</v>
      </c>
      <c r="U857" t="str">
        <f>""</f>
        <v/>
      </c>
      <c r="V85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58" spans="1:22" x14ac:dyDescent="0.3">
      <c r="A858" t="str">
        <f>"Affidamento"</f>
        <v>Affidamento</v>
      </c>
      <c r="B858" t="str">
        <f>"Riparazione aggancio rapido su mezzo con targa: AG838."</f>
        <v>Riparazione aggancio rapido su mezzo con targa: AG838.</v>
      </c>
      <c r="C858" t="str">
        <f>"Z201C82A88"</f>
        <v>Z201C82A88</v>
      </c>
      <c r="D858" t="str">
        <f>"04/11/2021"</f>
        <v>04/11/2021</v>
      </c>
      <c r="E858" t="str">
        <f>""</f>
        <v/>
      </c>
      <c r="F858" t="str">
        <f>""</f>
        <v/>
      </c>
      <c r="G858" t="str">
        <f>"1300.00"</f>
        <v>1300.00</v>
      </c>
      <c r="H858" t="str">
        <f>"Consorzio di bonifica Bacchiglione"</f>
        <v>Consorzio di bonifica Bacchiglione</v>
      </c>
      <c r="I858" t="str">
        <f>"92223390284"</f>
        <v>92223390284</v>
      </c>
      <c r="J858" t="str">
        <f>"23-AFFIDAMENTO DIRETTO"</f>
        <v>23-AFFIDAMENTO DIRETTO</v>
      </c>
      <c r="K858" t="str">
        <f>"14/12/2021"</f>
        <v>14/12/2021</v>
      </c>
      <c r="L858" t="str">
        <f>"31/01/2021"</f>
        <v>31/01/2021</v>
      </c>
      <c r="M858" t="str">
        <f>""</f>
        <v/>
      </c>
      <c r="N858" t="str">
        <f>"ZEMI s.a.s. di Zanotto Enzo di Ruzzante Dorina Via E. Mattei 7 35020 Due Carrare PD"</f>
        <v>ZEMI s.a.s. di Zanotto Enzo di Ruzzante Dorina Via E. Mattei 7 35020 Due Carrare PD</v>
      </c>
      <c r="O858" t="str">
        <f>"ZEMI s.a.s. di Zanotto Enzo di Ruzzante Dorina Via E. Mattei 7 35020 Due Carrare PD"</f>
        <v>ZEMI s.a.s. di Zanotto Enzo di Ruzzante Dorina Via E. Mattei 7 35020 Due Carrare PD</v>
      </c>
      <c r="P858" t="str">
        <f>"Z201C82A88: [1300.00€ ]"</f>
        <v>Z201C82A88: [1300.00€ ]</v>
      </c>
      <c r="Q858" t="str">
        <f>""</f>
        <v/>
      </c>
      <c r="R858" t="str">
        <f>""</f>
        <v/>
      </c>
      <c r="S858" t="str">
        <f>""</f>
        <v/>
      </c>
      <c r="T858" t="str">
        <f>"https://portaletrasparenza.consorziobacchiglione.it/dettagli/attodigara/995/riparazione-aggancio-rapido-su-mezzo-con-targa-ag838.html"</f>
        <v>https://portaletrasparenza.consorziobacchiglione.it/dettagli/attodigara/995/riparazione-aggancio-rapido-su-mezzo-con-targa-ag838.html</v>
      </c>
      <c r="U858" t="str">
        <f>""</f>
        <v/>
      </c>
      <c r="V8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59" spans="1:22" x14ac:dyDescent="0.3">
      <c r="A859" t="str">
        <f>"Affidamento"</f>
        <v>Affidamento</v>
      </c>
      <c r="B859" t="str">
        <f>"Smaltimento terra e materiale derivante dalla pulizia delle griglie fermaroste Idrovora Valli di Camin"</f>
        <v>Smaltimento terra e materiale derivante dalla pulizia delle griglie fermaroste Idrovora Valli di Camin</v>
      </c>
      <c r="C859" t="str">
        <f>"Z141C82556"</f>
        <v>Z141C82556</v>
      </c>
      <c r="D859" t="str">
        <f>"04/11/2021"</f>
        <v>04/11/2021</v>
      </c>
      <c r="E859" t="str">
        <f>""</f>
        <v/>
      </c>
      <c r="F859" t="str">
        <f>""</f>
        <v/>
      </c>
      <c r="G859" t="str">
        <f>"1080.00"</f>
        <v>1080.00</v>
      </c>
      <c r="H859" t="str">
        <f>"Consorzio di bonifica Bacchiglione"</f>
        <v>Consorzio di bonifica Bacchiglione</v>
      </c>
      <c r="I859" t="str">
        <f>"92223390284"</f>
        <v>92223390284</v>
      </c>
      <c r="J859" t="str">
        <f>"23-AFFIDAMENTO DIRETTO"</f>
        <v>23-AFFIDAMENTO DIRETTO</v>
      </c>
      <c r="K859" t="str">
        <f>"14/12/2021"</f>
        <v>14/12/2021</v>
      </c>
      <c r="L859" t="str">
        <f>"22/12/2021"</f>
        <v>22/12/2021</v>
      </c>
      <c r="M859" t="str">
        <f>""</f>
        <v/>
      </c>
      <c r="N859" t="str">
        <f>"Viale Valter Via 1° Maggio 124 30010 Campagna Lupia VE"</f>
        <v>Viale Valter Via 1° Maggio 124 30010 Campagna Lupia VE</v>
      </c>
      <c r="O859" t="str">
        <f>"Viale Valter Via 1° Maggio 124 30010 Campagna Lupia VE"</f>
        <v>Viale Valter Via 1° Maggio 124 30010 Campagna Lupia VE</v>
      </c>
      <c r="P859" t="str">
        <f>"Z141C82556: [1080.00€ ]"</f>
        <v>Z141C82556: [1080.00€ ]</v>
      </c>
      <c r="Q859" t="str">
        <f>""</f>
        <v/>
      </c>
      <c r="R859" t="str">
        <f>""</f>
        <v/>
      </c>
      <c r="S859" t="str">
        <f>""</f>
        <v/>
      </c>
      <c r="T859" t="str">
        <f>"https://portaletrasparenza.consorziobacchiglione.it/dettagli/attodigara/994/smaltimento-terra-e-materiale-derivante-dalla-pulizia-delle-griglie-fermaroste-idrovora-valli-di-camin.html"</f>
        <v>https://portaletrasparenza.consorziobacchiglione.it/dettagli/attodigara/994/smaltimento-terra-e-materiale-derivante-dalla-pulizia-delle-griglie-fermaroste-idrovora-valli-di-camin.html</v>
      </c>
      <c r="U859" t="str">
        <f>""</f>
        <v/>
      </c>
      <c r="V85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60" spans="1:22" x14ac:dyDescent="0.3">
      <c r="A860" t="str">
        <f>"Affidamento"</f>
        <v>Affidamento</v>
      </c>
      <c r="B860" t="str">
        <f>"Fornitura e posa nuovo sgrigliatore completo di nastro trasportatore e griglia inclinata fermaroste per Idrovora Saracinesca"</f>
        <v>Fornitura e posa nuovo sgrigliatore completo di nastro trasportatore e griglia inclinata fermaroste per Idrovora Saracinesca</v>
      </c>
      <c r="C860" t="str">
        <f>"Z041C80788"</f>
        <v>Z041C80788</v>
      </c>
      <c r="D860" t="str">
        <f>"04/11/2021"</f>
        <v>04/11/2021</v>
      </c>
      <c r="E860" t="str">
        <f>""</f>
        <v/>
      </c>
      <c r="F860" t="str">
        <f>""</f>
        <v/>
      </c>
      <c r="G860" t="str">
        <f>"32970.00"</f>
        <v>32970.00</v>
      </c>
      <c r="H860" t="str">
        <f>"Consorzio di bonifica Bacchiglione"</f>
        <v>Consorzio di bonifica Bacchiglione</v>
      </c>
      <c r="I860" t="str">
        <f>"92223390284"</f>
        <v>92223390284</v>
      </c>
      <c r="J860" t="str">
        <f>"23-AFFIDAMENTO DIRETTO"</f>
        <v>23-AFFIDAMENTO DIRETTO</v>
      </c>
      <c r="K860" t="str">
        <f>"14/12/2021"</f>
        <v>14/12/2021</v>
      </c>
      <c r="L860" t="str">
        <f>"31/03/2021"</f>
        <v>31/03/2021</v>
      </c>
      <c r="M860" t="str">
        <f>""</f>
        <v/>
      </c>
      <c r="N860" t="str">
        <f>"Twincad S.R.L. Via Don Milani 1 45100 Rovigo | Scae S.r.l. Via Mattei 7b 36031 Dueville VI | Tecno 3F.P. S.R.L. Via F.Magellano 16 37053 Cherubine di Cerea VR"</f>
        <v>Twincad S.R.L. Via Don Milani 1 45100 Rovigo | Scae S.r.l. Via Mattei 7b 36031 Dueville VI | Tecno 3F.P. S.R.L. Via F.Magellano 16 37053 Cherubine di Cerea VR</v>
      </c>
      <c r="O860" t="str">
        <f>"Twincad S.R.L. Via Don Milani 1 45100 Rovigo"</f>
        <v>Twincad S.R.L. Via Don Milani 1 45100 Rovigo</v>
      </c>
      <c r="P860" t="str">
        <f>"Z041C80788: [32970.00€ ]"</f>
        <v>Z041C80788: [32970.00€ ]</v>
      </c>
      <c r="Q860" t="str">
        <f>""</f>
        <v/>
      </c>
      <c r="R860" t="str">
        <f>""</f>
        <v/>
      </c>
      <c r="S860" t="str">
        <f>""</f>
        <v/>
      </c>
      <c r="T860" t="str">
        <f>"https://portaletrasparenza.consorziobacchiglione.it/dettagli/attodigara/992/fornitura-e-posa-nuovo-sgrigliatore-completo-di-nastro-trasportatore-e-griglia-inclinata-fermaroste-per-idrovora-saracinesca.html"</f>
        <v>https://portaletrasparenza.consorziobacchiglione.it/dettagli/attodigara/992/fornitura-e-posa-nuovo-sgrigliatore-completo-di-nastro-trasportatore-e-griglia-inclinata-fermaroste-per-idrovora-saracinesca.html</v>
      </c>
      <c r="U860" t="str">
        <f>""</f>
        <v/>
      </c>
      <c r="V8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61" spans="1:22" x14ac:dyDescent="0.3">
      <c r="A861" t="str">
        <f>"Affidamento"</f>
        <v>Affidamento</v>
      </c>
      <c r="B861" t="str">
        <f>"Messa in sicurezza , consolidamento scarpata e taglio alberature dello scolo Fiumicello nel tratto di via Cà Loredan Corte di Piove di Sacco"</f>
        <v>Messa in sicurezza , consolidamento scarpata e taglio alberature dello scolo Fiumicello nel tratto di via Cà Loredan Corte di Piove di Sacco</v>
      </c>
      <c r="C861" t="str">
        <f>"Z8F1C80F95"</f>
        <v>Z8F1C80F95</v>
      </c>
      <c r="D861" t="str">
        <f>"04/11/2021"</f>
        <v>04/11/2021</v>
      </c>
      <c r="E861" t="str">
        <f>""</f>
        <v/>
      </c>
      <c r="F861" t="str">
        <f>""</f>
        <v/>
      </c>
      <c r="G861" t="str">
        <f>"31875.07"</f>
        <v>31875.07</v>
      </c>
      <c r="H861" t="str">
        <f>"Consorzio di bonifica Bacchiglione"</f>
        <v>Consorzio di bonifica Bacchiglione</v>
      </c>
      <c r="I861" t="str">
        <f>"92223390284"</f>
        <v>92223390284</v>
      </c>
      <c r="J861" t="str">
        <f>"23-AFFIDAMENTO DIRETTO"</f>
        <v>23-AFFIDAMENTO DIRETTO</v>
      </c>
      <c r="K861" t="str">
        <f>"14/12/2021"</f>
        <v>14/12/2021</v>
      </c>
      <c r="L861" t="str">
        <f>"26/04/2021"</f>
        <v>26/04/2021</v>
      </c>
      <c r="M861" t="str">
        <f>""</f>
        <v/>
      </c>
      <c r="N861" t="str">
        <f>"La Cittadella s.n.c. di Ferrara Andrea E C. Via Vallona 98 35020 Codevigo PD | V.P.S. s.a.s. di Viel Claudio E C. Via E. Mattei 15 35020 Codevigo PD"</f>
        <v>La Cittadella s.n.c. di Ferrara Andrea E C. Via Vallona 98 35020 Codevigo PD | V.P.S. s.a.s. di Viel Claudio E C. Via E. Mattei 15 35020 Codevigo PD</v>
      </c>
      <c r="O861" t="str">
        <f>"La Cittadella s.n.c. di Ferrara Andrea E C. Via Vallona 98 35020 Codevigo PD"</f>
        <v>La Cittadella s.n.c. di Ferrara Andrea E C. Via Vallona 98 35020 Codevigo PD</v>
      </c>
      <c r="P861" t="str">
        <f>"Z8F1C80F95: [31743.87€ ]"</f>
        <v>Z8F1C80F95: [31743.87€ ]</v>
      </c>
      <c r="Q861" t="str">
        <f>""</f>
        <v/>
      </c>
      <c r="R861" t="str">
        <f>""</f>
        <v/>
      </c>
      <c r="S861" t="str">
        <f>""</f>
        <v/>
      </c>
      <c r="T861" t="str">
        <f>"https://portaletrasparenza.consorziobacchiglione.it/dettagli/attodigara/993/messa-in-sicurezza-consolidamento-scarpata-e-taglio-alberature-dello-scolo-fiumicello-nel-tratto-di-via-ca-loredan-corte-di-piove-di-sacco.html"</f>
        <v>https://portaletrasparenza.consorziobacchiglione.it/dettagli/attodigara/993/messa-in-sicurezza-consolidamento-scarpata-e-taglio-alberature-dello-scolo-fiumicello-nel-tratto-di-via-ca-loredan-corte-di-piove-di-sacco.html</v>
      </c>
      <c r="U861" t="str">
        <f>""</f>
        <v/>
      </c>
      <c r="V861">
        <f>(SUBSTITUTE(Tabella1[[#This Row],[Importo di aggiudicazione]],".",","))-(SUBSTITUTE(  SUBSTITUTE(          SUBSTITUTE(Tabella1[[#This Row],[Dettaglio somme liquidate]],Tabella1[[#This Row],[CIG]]&amp;": [",""),"€ ]",""),".",","))</f>
        <v>131.20000000000073</v>
      </c>
    </row>
    <row r="862" spans="1:22" x14ac:dyDescent="0.3">
      <c r="A862" t="str">
        <f>"Affidamento"</f>
        <v>Affidamento</v>
      </c>
      <c r="B862" t="str">
        <f>"Riparazione e manutenzione mezzo con targa: EP107XC."</f>
        <v>Riparazione e manutenzione mezzo con targa: EP107XC.</v>
      </c>
      <c r="C862" t="str">
        <f>"ZA61C8313C"</f>
        <v>ZA61C8313C</v>
      </c>
      <c r="D862" t="str">
        <f>"04/11/2021"</f>
        <v>04/11/2021</v>
      </c>
      <c r="E862" t="str">
        <f>""</f>
        <v/>
      </c>
      <c r="F862" t="str">
        <f>""</f>
        <v/>
      </c>
      <c r="G862" t="str">
        <f>"151.74"</f>
        <v>151.74</v>
      </c>
      <c r="H862" t="str">
        <f>"Consorzio di bonifica Bacchiglione"</f>
        <v>Consorzio di bonifica Bacchiglione</v>
      </c>
      <c r="I862" t="str">
        <f>"92223390284"</f>
        <v>92223390284</v>
      </c>
      <c r="J862" t="str">
        <f>"23-AFFIDAMENTO DIRETTO"</f>
        <v>23-AFFIDAMENTO DIRETTO</v>
      </c>
      <c r="K862" t="str">
        <f>"14/12/2021"</f>
        <v>14/12/2021</v>
      </c>
      <c r="L862" t="str">
        <f>"31/12/2021"</f>
        <v>31/12/2021</v>
      </c>
      <c r="M862" t="str">
        <f>""</f>
        <v/>
      </c>
      <c r="N862" t="str">
        <f>"Mardegan F.lli s.n.c. Via Argine Destro 13A 35020 Brenta di Correzzola PD"</f>
        <v>Mardegan F.lli s.n.c. Via Argine Destro 13A 35020 Brenta di Correzzola PD</v>
      </c>
      <c r="O862" t="str">
        <f>"Mardegan F.lli s.n.c. Via Argine Destro 13A 35020 Brenta di Correzzola PD"</f>
        <v>Mardegan F.lli s.n.c. Via Argine Destro 13A 35020 Brenta di Correzzola PD</v>
      </c>
      <c r="P862" t="str">
        <f>"ZA61C8313C: [0.00€ ]"</f>
        <v>ZA61C8313C: [0.00€ ]</v>
      </c>
      <c r="Q862" t="str">
        <f>""</f>
        <v/>
      </c>
      <c r="R862" t="str">
        <f>""</f>
        <v/>
      </c>
      <c r="S862" t="str">
        <f>""</f>
        <v/>
      </c>
      <c r="T862" t="str">
        <f>"https://portaletrasparenza.consorziobacchiglione.it/dettagli/attodigara/998/riparazione-e-manutenzione-mezzo-con-targa-ep107xc.html"</f>
        <v>https://portaletrasparenza.consorziobacchiglione.it/dettagli/attodigara/998/riparazione-e-manutenzione-mezzo-con-targa-ep107xc.html</v>
      </c>
      <c r="U862" t="str">
        <f>""</f>
        <v/>
      </c>
      <c r="V862">
        <f>(SUBSTITUTE(Tabella1[[#This Row],[Importo di aggiudicazione]],".",","))-(SUBSTITUTE(  SUBSTITUTE(          SUBSTITUTE(Tabella1[[#This Row],[Dettaglio somme liquidate]],Tabella1[[#This Row],[CIG]]&amp;": [",""),"€ ]",""),".",","))</f>
        <v>151.74</v>
      </c>
    </row>
    <row r="863" spans="1:22" x14ac:dyDescent="0.3">
      <c r="A863" t="str">
        <f>"Affidamento"</f>
        <v>Affidamento</v>
      </c>
      <c r="B863" t="str">
        <f>"Rilievo topografico, perizia di stima economica valore mercato beni immobili oggetto d'esproprio, assistenza tecnica alla gestione della procedura espropriativa - Processo ID 027-21."</f>
        <v>Rilievo topografico, perizia di stima economica valore mercato beni immobili oggetto d'esproprio, assistenza tecnica alla gestione della procedura espropriativa - Processo ID 027-21.</v>
      </c>
      <c r="C863" t="str">
        <f>"Z733466DF5"</f>
        <v>Z733466DF5</v>
      </c>
      <c r="D863" t="str">
        <f>"15/12/2021"</f>
        <v>15/12/2021</v>
      </c>
      <c r="E863" t="str">
        <f>""</f>
        <v/>
      </c>
      <c r="F863" t="str">
        <f>""</f>
        <v/>
      </c>
      <c r="G863" t="str">
        <f>"19425.00"</f>
        <v>19425.00</v>
      </c>
      <c r="H863" t="str">
        <f>"Consorzio di bonifica Bacchiglione"</f>
        <v>Consorzio di bonifica Bacchiglione</v>
      </c>
      <c r="I863" t="str">
        <f>"92223390284"</f>
        <v>92223390284</v>
      </c>
      <c r="J863" t="str">
        <f>"23-AFFIDAMENTO DIRETTO"</f>
        <v>23-AFFIDAMENTO DIRETTO</v>
      </c>
      <c r="K863" t="str">
        <f>"14/12/2021"</f>
        <v>14/12/2021</v>
      </c>
      <c r="L863" t="str">
        <f>"31/12/2021"</f>
        <v>31/12/2021</v>
      </c>
      <c r="M863" t="str">
        <f>""</f>
        <v/>
      </c>
      <c r="N863" t="str">
        <f>"AP STUDIO geom. Pizzeghello Angelo | Sattin Geom. Giuseppe | De Pieri GEOM. Eros"</f>
        <v>AP STUDIO geom. Pizzeghello Angelo | Sattin Geom. Giuseppe | De Pieri GEOM. Eros</v>
      </c>
      <c r="O863" t="str">
        <f>"AP STUDIO geom. Pizzeghello Angelo"</f>
        <v>AP STUDIO geom. Pizzeghello Angelo</v>
      </c>
      <c r="P863" t="str">
        <f>"Z733466DF5: [7875.00€ ]"</f>
        <v>Z733466DF5: [7875.00€ ]</v>
      </c>
      <c r="Q863" t="str">
        <f>""</f>
        <v/>
      </c>
      <c r="R863" t="str">
        <f>""</f>
        <v/>
      </c>
      <c r="S863" t="str">
        <f>""</f>
        <v/>
      </c>
      <c r="T863" t="s">
        <v>27</v>
      </c>
      <c r="U863" t="str">
        <f>"https://portaletrasparenza.consorziobacchiglione.it/download/attodigara/7349/63ac45f977f37.PDF"</f>
        <v>https://portaletrasparenza.consorziobacchiglione.it/download/attodigara/7349/63ac45f977f37.PDF</v>
      </c>
      <c r="V863">
        <f>(SUBSTITUTE(Tabella1[[#This Row],[Importo di aggiudicazione]],".",","))-(SUBSTITUTE(  SUBSTITUTE(          SUBSTITUTE(Tabella1[[#This Row],[Dettaglio somme liquidate]],Tabella1[[#This Row],[CIG]]&amp;": [",""),"€ ]",""),".",","))</f>
        <v>11550</v>
      </c>
    </row>
    <row r="864" spans="1:22" x14ac:dyDescent="0.3">
      <c r="A864" t="str">
        <f>"Affidamento"</f>
        <v>Affidamento</v>
      </c>
      <c r="B864" t="str">
        <f>"Affidamento del servizio di assistenza e consulenza in materia di lavoro e fiscale anno 2016."</f>
        <v>Affidamento del servizio di assistenza e consulenza in materia di lavoro e fiscale anno 2016.</v>
      </c>
      <c r="C864" t="str">
        <f>"Z7E1842445"</f>
        <v>Z7E1842445</v>
      </c>
      <c r="D864" t="str">
        <f>"04/11/2021"</f>
        <v>04/11/2021</v>
      </c>
      <c r="E864" t="str">
        <f>""</f>
        <v/>
      </c>
      <c r="F864" t="str">
        <f>""</f>
        <v/>
      </c>
      <c r="G864" t="str">
        <f>"17449.70"</f>
        <v>17449.70</v>
      </c>
      <c r="H864" t="str">
        <f>"Consorzio di bonifica Bacchiglione"</f>
        <v>Consorzio di bonifica Bacchiglione</v>
      </c>
      <c r="I864" t="str">
        <f>"92223390284"</f>
        <v>92223390284</v>
      </c>
      <c r="J864" t="str">
        <f>"23-AFFIDAMENTO DIRETTO"</f>
        <v>23-AFFIDAMENTO DIRETTO</v>
      </c>
      <c r="K864" t="str">
        <f>"15/01/2021"</f>
        <v>15/01/2021</v>
      </c>
      <c r="L864" t="str">
        <f>"14/03/2021"</f>
        <v>14/03/2021</v>
      </c>
      <c r="M864" t="str">
        <f>""</f>
        <v/>
      </c>
      <c r="N864" t="str">
        <f>"HUNEXT CONSULTING"</f>
        <v>HUNEXT CONSULTING</v>
      </c>
      <c r="O864" t="str">
        <f>"HUNEXT CONSULTING"</f>
        <v>HUNEXT CONSULTING</v>
      </c>
      <c r="P864" t="s">
        <v>354</v>
      </c>
      <c r="Q864" t="str">
        <f>""</f>
        <v/>
      </c>
      <c r="R864" t="str">
        <f>""</f>
        <v/>
      </c>
      <c r="S864" t="str">
        <f>""</f>
        <v/>
      </c>
      <c r="T864" t="str">
        <f>"https://portaletrasparenza.consorziobacchiglione.it/dettagli/attodigara/46/affidamento-del-servizio-di-assistenza-e-consulenza-in-materia-di-lavoro-e-fiscale-anno-2016.html"</f>
        <v>https://portaletrasparenza.consorziobacchiglione.it/dettagli/attodigara/46/affidamento-del-servizio-di-assistenza-e-consulenza-in-materia-di-lavoro-e-fiscale-anno-2016.html</v>
      </c>
      <c r="U864" t="str">
        <f>""</f>
        <v/>
      </c>
      <c r="V8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65" spans="1:22" x14ac:dyDescent="0.3">
      <c r="A865" t="str">
        <f>"Affidamento"</f>
        <v>Affidamento</v>
      </c>
      <c r="B865" t="str">
        <f>"Manutenzione e riparazione mezzo con targa: CB933XY"</f>
        <v>Manutenzione e riparazione mezzo con targa: CB933XY</v>
      </c>
      <c r="C865" t="str">
        <f>"ZA3180A159"</f>
        <v>ZA3180A159</v>
      </c>
      <c r="D865" t="str">
        <f>"04/11/2021"</f>
        <v>04/11/2021</v>
      </c>
      <c r="E865" t="str">
        <f>""</f>
        <v/>
      </c>
      <c r="F865" t="str">
        <f>""</f>
        <v/>
      </c>
      <c r="G865" t="str">
        <f>"1103.15"</f>
        <v>1103.15</v>
      </c>
      <c r="H865" t="str">
        <f>"Consorzio di bonifica Bacchiglione"</f>
        <v>Consorzio di bonifica Bacchiglione</v>
      </c>
      <c r="I865" t="str">
        <f>"92223390284"</f>
        <v>92223390284</v>
      </c>
      <c r="J865" t="str">
        <f>"23-AFFIDAMENTO DIRETTO"</f>
        <v>23-AFFIDAMENTO DIRETTO</v>
      </c>
      <c r="K865" t="str">
        <f>"15/01/2021"</f>
        <v>15/01/2021</v>
      </c>
      <c r="L865" t="str">
        <f>"15/02/2021"</f>
        <v>15/02/2021</v>
      </c>
      <c r="M865" t="str">
        <f>""</f>
        <v/>
      </c>
      <c r="N865" t="str">
        <f>"Autoriparazioni Ravazzolo s.r.l. Via Roma 259a 35030 Montemerlo di Cervarese Santa Croce PD"</f>
        <v>Autoriparazioni Ravazzolo s.r.l. Via Roma 259a 35030 Montemerlo di Cervarese Santa Croce PD</v>
      </c>
      <c r="O865" t="str">
        <f>"Autoriparazioni Ravazzolo s.r.l. Via Roma 259a 35030 Montemerlo di Cervarese Santa Croce PD"</f>
        <v>Autoriparazioni Ravazzolo s.r.l. Via Roma 259a 35030 Montemerlo di Cervarese Santa Croce PD</v>
      </c>
      <c r="P865" t="str">
        <f>"ZA3180A159: [1103.15€ ]"</f>
        <v>ZA3180A159: [1103.15€ ]</v>
      </c>
      <c r="Q865" t="str">
        <f>""</f>
        <v/>
      </c>
      <c r="R865" t="str">
        <f>""</f>
        <v/>
      </c>
      <c r="S865" t="str">
        <f>""</f>
        <v/>
      </c>
      <c r="T865" t="str">
        <f>"https://portaletrasparenza.consorziobacchiglione.it/dettagli/attodigara/48/manutenzione-e-riparazione-mezzo-con-targa-cb933xy.html"</f>
        <v>https://portaletrasparenza.consorziobacchiglione.it/dettagli/attodigara/48/manutenzione-e-riparazione-mezzo-con-targa-cb933xy.html</v>
      </c>
      <c r="U865" t="str">
        <f>""</f>
        <v/>
      </c>
      <c r="V8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66" spans="1:22" x14ac:dyDescent="0.3">
      <c r="A866" t="str">
        <f>"Affidamento"</f>
        <v>Affidamento</v>
      </c>
      <c r="B866" t="str">
        <f>"Affidamento del servizio di elaborazione paghe, adempimenti previdenziali, assistenziali e fiscali per l anno 2016."</f>
        <v>Affidamento del servizio di elaborazione paghe, adempimenti previdenziali, assistenziali e fiscali per l anno 2016.</v>
      </c>
      <c r="C866" t="str">
        <f>"ZEC1842190"</f>
        <v>ZEC1842190</v>
      </c>
      <c r="D866" t="str">
        <f>"04/11/2021"</f>
        <v>04/11/2021</v>
      </c>
      <c r="E866" t="str">
        <f>""</f>
        <v/>
      </c>
      <c r="F866" t="str">
        <f>""</f>
        <v/>
      </c>
      <c r="G866" t="str">
        <f>"18028.65"</f>
        <v>18028.65</v>
      </c>
      <c r="H866" t="str">
        <f>"Consorzio di bonifica Bacchiglione"</f>
        <v>Consorzio di bonifica Bacchiglione</v>
      </c>
      <c r="I866" t="str">
        <f>"92223390284"</f>
        <v>92223390284</v>
      </c>
      <c r="J866" t="str">
        <f>"23-AFFIDAMENTO DIRETTO"</f>
        <v>23-AFFIDAMENTO DIRETTO</v>
      </c>
      <c r="K866" t="str">
        <f>"15/01/2021"</f>
        <v>15/01/2021</v>
      </c>
      <c r="L866" t="str">
        <f>"14/03/2021"</f>
        <v>14/03/2021</v>
      </c>
      <c r="M866" t="str">
        <f>""</f>
        <v/>
      </c>
      <c r="N866" t="str">
        <f>"HUNEXT PAYROLL"</f>
        <v>HUNEXT PAYROLL</v>
      </c>
      <c r="O866" t="str">
        <f>"HUNEXT PAYROLL"</f>
        <v>HUNEXT PAYROLL</v>
      </c>
      <c r="P866" t="str">
        <f>"ZEC1842190: [18028.65€ ]"</f>
        <v>ZEC1842190: [18028.65€ ]</v>
      </c>
      <c r="Q866" t="str">
        <f>""</f>
        <v/>
      </c>
      <c r="R866" t="str">
        <f>""</f>
        <v/>
      </c>
      <c r="S866" t="str">
        <f>""</f>
        <v/>
      </c>
      <c r="T866" t="str">
        <f>"https://portaletrasparenza.consorziobacchiglione.it/dettagli/attodigara/45/affidamento-del-servizio-di-elaborazione-paghe-adempimenti-previdenziali-assistenziali-e-fiscali-per-l-anno-2016.html"</f>
        <v>https://portaletrasparenza.consorziobacchiglione.it/dettagli/attodigara/45/affidamento-del-servizio-di-elaborazione-paghe-adempimenti-previdenziali-assistenziali-e-fiscali-per-l-anno-2016.html</v>
      </c>
      <c r="U866" t="str">
        <f>""</f>
        <v/>
      </c>
      <c r="V86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67" spans="1:22" x14ac:dyDescent="0.3">
      <c r="A867" t="str">
        <f>"Affidamento"</f>
        <v>Affidamento</v>
      </c>
      <c r="B867" t="str">
        <f>"Affidamento servizi WEB e email sito consortile, mail-pro 5GB, attività di assistenza e manutenzione."</f>
        <v>Affidamento servizi WEB e email sito consortile, mail-pro 5GB, attività di assistenza e manutenzione.</v>
      </c>
      <c r="C867" t="str">
        <f>"ZF5182A696"</f>
        <v>ZF5182A696</v>
      </c>
      <c r="D867" t="str">
        <f>"04/11/2021"</f>
        <v>04/11/2021</v>
      </c>
      <c r="E867" t="str">
        <f>""</f>
        <v/>
      </c>
      <c r="F867" t="str">
        <f>""</f>
        <v/>
      </c>
      <c r="G867" t="str">
        <f>"2606.00"</f>
        <v>2606.00</v>
      </c>
      <c r="H867" t="str">
        <f>"Consorzio di bonifica Bacchiglione"</f>
        <v>Consorzio di bonifica Bacchiglione</v>
      </c>
      <c r="I867" t="str">
        <f>"92223390284"</f>
        <v>92223390284</v>
      </c>
      <c r="J867" t="str">
        <f>"23-AFFIDAMENTO DIRETTO"</f>
        <v>23-AFFIDAMENTO DIRETTO</v>
      </c>
      <c r="K867" t="str">
        <f>"15/01/2021"</f>
        <v>15/01/2021</v>
      </c>
      <c r="L867" t="str">
        <f>"31/12/2021"</f>
        <v>31/12/2021</v>
      </c>
      <c r="M867" t="str">
        <f>""</f>
        <v/>
      </c>
      <c r="N867" t="str">
        <f>"HIGH RESOLUTION S.R.L."</f>
        <v>HIGH RESOLUTION S.R.L.</v>
      </c>
      <c r="O867" t="str">
        <f>"HIGH RESOLUTION S.R.L."</f>
        <v>HIGH RESOLUTION S.R.L.</v>
      </c>
      <c r="P867" t="str">
        <f>"ZF5182A696: [2606.00€ ]"</f>
        <v>ZF5182A696: [2606.00€ ]</v>
      </c>
      <c r="Q867" t="str">
        <f>""</f>
        <v/>
      </c>
      <c r="R867" t="str">
        <f>""</f>
        <v/>
      </c>
      <c r="S867" t="str">
        <f>""</f>
        <v/>
      </c>
      <c r="T867" t="str">
        <f>"https://portaletrasparenza.consorziobacchiglione.it/dettagli/attodigara/44/affidamento-servizi-web-e-email-sito-consortile-mail-pro-5gb-attivita-di-assistenza-e-manutenzione.html"</f>
        <v>https://portaletrasparenza.consorziobacchiglione.it/dettagli/attodigara/44/affidamento-servizi-web-e-email-sito-consortile-mail-pro-5gb-attivita-di-assistenza-e-manutenzione.html</v>
      </c>
      <c r="U867" t="str">
        <f>""</f>
        <v/>
      </c>
      <c r="V86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68" spans="1:22" x14ac:dyDescent="0.3">
      <c r="A868" t="str">
        <f>"Affidamento"</f>
        <v>Affidamento</v>
      </c>
      <c r="B868" t="str">
        <f>"Affidamento fornitura alla pompa gasolio auto per autovetture consortili anno 2016."</f>
        <v>Affidamento fornitura alla pompa gasolio auto per autovetture consortili anno 2016.</v>
      </c>
      <c r="C868" t="str">
        <f>"ZDB1847248"</f>
        <v>ZDB1847248</v>
      </c>
      <c r="D868" t="str">
        <f>"04/11/2021"</f>
        <v>04/11/2021</v>
      </c>
      <c r="E868" t="str">
        <f>""</f>
        <v/>
      </c>
      <c r="F868" t="str">
        <f>""</f>
        <v/>
      </c>
      <c r="G868" t="str">
        <f>"2400.00"</f>
        <v>2400.00</v>
      </c>
      <c r="H868" t="str">
        <f>"Consorzio di bonifica Bacchiglione"</f>
        <v>Consorzio di bonifica Bacchiglione</v>
      </c>
      <c r="I868" t="str">
        <f>"92223390284"</f>
        <v>92223390284</v>
      </c>
      <c r="J868" t="str">
        <f>"23-AFFIDAMENTO DIRETTO"</f>
        <v>23-AFFIDAMENTO DIRETTO</v>
      </c>
      <c r="K868" t="str">
        <f>"15/01/2021"</f>
        <v>15/01/2021</v>
      </c>
      <c r="L868" t="str">
        <f>"31/12/2021"</f>
        <v>31/12/2021</v>
      </c>
      <c r="M868" t="str">
        <f>""</f>
        <v/>
      </c>
      <c r="N868" t="str">
        <f>"Costantin S.p.A."</f>
        <v>Costantin S.p.A.</v>
      </c>
      <c r="O868" t="str">
        <f>"Costantin S.p.A."</f>
        <v>Costantin S.p.A.</v>
      </c>
      <c r="P868" t="str">
        <f>"ZDB1847248: [2388.81€ ]"</f>
        <v>ZDB1847248: [2388.81€ ]</v>
      </c>
      <c r="Q868" t="str">
        <f>""</f>
        <v/>
      </c>
      <c r="R868" t="str">
        <f>""</f>
        <v/>
      </c>
      <c r="S868" t="str">
        <f>""</f>
        <v/>
      </c>
      <c r="T868" t="str">
        <f>"https://portaletrasparenza.consorziobacchiglione.it/dettagli/attodigara/47/affidamento-fornitura-alla-pompa-gasolio-auto-per-autovetture-consortili-anno-2016.html"</f>
        <v>https://portaletrasparenza.consorziobacchiglione.it/dettagli/attodigara/47/affidamento-fornitura-alla-pompa-gasolio-auto-per-autovetture-consortili-anno-2016.html</v>
      </c>
      <c r="U868" t="str">
        <f>""</f>
        <v/>
      </c>
      <c r="V868">
        <f>(SUBSTITUTE(Tabella1[[#This Row],[Importo di aggiudicazione]],".",","))-(SUBSTITUTE(  SUBSTITUTE(          SUBSTITUTE(Tabella1[[#This Row],[Dettaglio somme liquidate]],Tabella1[[#This Row],[CIG]]&amp;": [",""),"€ ]",""),".",","))</f>
        <v>11.190000000000055</v>
      </c>
    </row>
    <row r="869" spans="1:22" x14ac:dyDescent="0.3">
      <c r="A869" t="str">
        <f>"Affidamento"</f>
        <v>Affidamento</v>
      </c>
      <c r="B869" t="str">
        <f>"Acquisto, presso l?agenzia delle Entrate - Ufficio Provinciale di Venezia - Territorio, dei dati censuari aggiornati (catasto terreni e fabbricati) anno 2015"</f>
        <v>Acquisto, presso l?agenzia delle Entrate - Ufficio Provinciale di Venezia - Territorio, dei dati censuari aggiornati (catasto terreni e fabbricati) anno 2015</v>
      </c>
      <c r="C869" t="str">
        <f>"Z1818086AB"</f>
        <v>Z1818086AB</v>
      </c>
      <c r="D869" t="str">
        <f>"04/11/2021"</f>
        <v>04/11/2021</v>
      </c>
      <c r="E869" t="str">
        <f>""</f>
        <v/>
      </c>
      <c r="F869" t="str">
        <f>""</f>
        <v/>
      </c>
      <c r="G869" t="str">
        <f>"350.57"</f>
        <v>350.57</v>
      </c>
      <c r="H869" t="str">
        <f>"Consorzio di bonifica Bacchiglione"</f>
        <v>Consorzio di bonifica Bacchiglione</v>
      </c>
      <c r="I869" t="str">
        <f>"92223390284"</f>
        <v>92223390284</v>
      </c>
      <c r="J869" t="str">
        <f>"23-AFFIDAMENTO DIRETTO"</f>
        <v>23-AFFIDAMENTO DIRETTO</v>
      </c>
      <c r="K869" t="str">
        <f>"15/01/2021"</f>
        <v>15/01/2021</v>
      </c>
      <c r="L869" t="str">
        <f>"21/01/2021"</f>
        <v>21/01/2021</v>
      </c>
      <c r="M869" t="str">
        <f>""</f>
        <v/>
      </c>
      <c r="N869" t="str">
        <f>"AGENZIA DELLE ENTRATE"</f>
        <v>AGENZIA DELLE ENTRATE</v>
      </c>
      <c r="O869" t="str">
        <f>"AGENZIA DELLE ENTRATE"</f>
        <v>AGENZIA DELLE ENTRATE</v>
      </c>
      <c r="P869" t="str">
        <f>"Z1818086AB: [0.00€ ]"</f>
        <v>Z1818086AB: [0.00€ ]</v>
      </c>
      <c r="Q869" t="str">
        <f>""</f>
        <v/>
      </c>
      <c r="R869" t="str">
        <f>""</f>
        <v/>
      </c>
      <c r="S869" t="str">
        <f>""</f>
        <v/>
      </c>
      <c r="T869" t="str">
        <f>"https://portaletrasparenza.consorziobacchiglione.it/dettagli/attodigara/42/acquisto-presso-l-agenzia-delle-entrate-ufficio-provinciale-di-venezia-territorio-dei-dati-censuari-aggiornati-catasto-terreni-e-fabbricati-anno-2015.html"</f>
        <v>https://portaletrasparenza.consorziobacchiglione.it/dettagli/attodigara/42/acquisto-presso-l-agenzia-delle-entrate-ufficio-provinciale-di-venezia-territorio-dei-dati-censuari-aggiornati-catasto-terreni-e-fabbricati-anno-2015.html</v>
      </c>
      <c r="U869" t="str">
        <f>""</f>
        <v/>
      </c>
      <c r="V869">
        <f>(SUBSTITUTE(Tabella1[[#This Row],[Importo di aggiudicazione]],".",","))-(SUBSTITUTE(  SUBSTITUTE(          SUBSTITUTE(Tabella1[[#This Row],[Dettaglio somme liquidate]],Tabella1[[#This Row],[CIG]]&amp;": [",""),"€ ]",""),".",","))</f>
        <v>350.57</v>
      </c>
    </row>
    <row r="870" spans="1:22" x14ac:dyDescent="0.3">
      <c r="A870" t="str">
        <f>"Affidamento"</f>
        <v>Affidamento</v>
      </c>
      <c r="B870" t="str">
        <f>"Spostamento rosta da bacino Pratiarcati a deposito Viale Valter."</f>
        <v>Spostamento rosta da bacino Pratiarcati a deposito Viale Valter.</v>
      </c>
      <c r="C870" t="str">
        <f>"Z14180A7E8"</f>
        <v>Z14180A7E8</v>
      </c>
      <c r="D870" t="str">
        <f>"04/11/2021"</f>
        <v>04/11/2021</v>
      </c>
      <c r="E870" t="str">
        <f>""</f>
        <v/>
      </c>
      <c r="F870" t="str">
        <f>""</f>
        <v/>
      </c>
      <c r="G870" t="str">
        <f>"8550.00"</f>
        <v>8550.00</v>
      </c>
      <c r="H870" t="str">
        <f>"Consorzio di bonifica Bacchiglione"</f>
        <v>Consorzio di bonifica Bacchiglione</v>
      </c>
      <c r="I870" t="str">
        <f>"92223390284"</f>
        <v>92223390284</v>
      </c>
      <c r="J870" t="str">
        <f>"23-AFFIDAMENTO DIRETTO"</f>
        <v>23-AFFIDAMENTO DIRETTO</v>
      </c>
      <c r="K870" t="str">
        <f>"15/01/2021"</f>
        <v>15/01/2021</v>
      </c>
      <c r="L870" t="str">
        <f>"24/08/2021"</f>
        <v>24/08/2021</v>
      </c>
      <c r="M870" t="str">
        <f>""</f>
        <v/>
      </c>
      <c r="N870" t="str">
        <f>"Viale Valter Via 1° Maggio 124 30010 Campagna Lupia VE"</f>
        <v>Viale Valter Via 1° Maggio 124 30010 Campagna Lupia VE</v>
      </c>
      <c r="O870" t="str">
        <f>"Viale Valter Via 1° Maggio 124 30010 Campagna Lupia VE"</f>
        <v>Viale Valter Via 1° Maggio 124 30010 Campagna Lupia VE</v>
      </c>
      <c r="P870" t="str">
        <f>"Z14180A7E8: [6750.00€ ]"</f>
        <v>Z14180A7E8: [6750.00€ ]</v>
      </c>
      <c r="Q870" t="str">
        <f>""</f>
        <v/>
      </c>
      <c r="R870" t="str">
        <f>""</f>
        <v/>
      </c>
      <c r="S870" t="str">
        <f>""</f>
        <v/>
      </c>
      <c r="T870" t="str">
        <f>"https://portaletrasparenza.consorziobacchiglione.it/dettagli/attodigara/49/spostamento-rosta-da-bacino-pratiarcati-a-deposito-viale-valter.html"</f>
        <v>https://portaletrasparenza.consorziobacchiglione.it/dettagli/attodigara/49/spostamento-rosta-da-bacino-pratiarcati-a-deposito-viale-valter.html</v>
      </c>
      <c r="U870" t="str">
        <f>""</f>
        <v/>
      </c>
      <c r="V870">
        <f>(SUBSTITUTE(Tabella1[[#This Row],[Importo di aggiudicazione]],".",","))-(SUBSTITUTE(  SUBSTITUTE(          SUBSTITUTE(Tabella1[[#This Row],[Dettaglio somme liquidate]],Tabella1[[#This Row],[CIG]]&amp;": [",""),"€ ]",""),".",","))</f>
        <v>1800</v>
      </c>
    </row>
    <row r="871" spans="1:22" x14ac:dyDescent="0.3">
      <c r="A871" t="str">
        <f>"Affidamento"</f>
        <v>Affidamento</v>
      </c>
      <c r="B871" t="str">
        <f>"Acquisto, presso l'Agenzia delle Entrate - Ufficio Provinciale di Venezia - Territorio, dei dati cartografici aggiornati anno 2015"</f>
        <v>Acquisto, presso l'Agenzia delle Entrate - Ufficio Provinciale di Venezia - Territorio, dei dati cartografici aggiornati anno 2015</v>
      </c>
      <c r="C871" t="str">
        <f>"Z171808666"</f>
        <v>Z171808666</v>
      </c>
      <c r="D871" t="str">
        <f>"04/11/2021"</f>
        <v>04/11/2021</v>
      </c>
      <c r="E871" t="str">
        <f>""</f>
        <v/>
      </c>
      <c r="F871" t="str">
        <f>""</f>
        <v/>
      </c>
      <c r="G871" t="str">
        <f>"4393.44"</f>
        <v>4393.44</v>
      </c>
      <c r="H871" t="str">
        <f>"Consorzio di bonifica Bacchiglione"</f>
        <v>Consorzio di bonifica Bacchiglione</v>
      </c>
      <c r="I871" t="str">
        <f>"92223390284"</f>
        <v>92223390284</v>
      </c>
      <c r="J871" t="str">
        <f>"23-AFFIDAMENTO DIRETTO"</f>
        <v>23-AFFIDAMENTO DIRETTO</v>
      </c>
      <c r="K871" t="str">
        <f>"15/01/2021"</f>
        <v>15/01/2021</v>
      </c>
      <c r="L871" t="str">
        <f>"21/01/2021"</f>
        <v>21/01/2021</v>
      </c>
      <c r="M871" t="str">
        <f>""</f>
        <v/>
      </c>
      <c r="N871" t="str">
        <f>"AGENZIA DELLE ENTRATE"</f>
        <v>AGENZIA DELLE ENTRATE</v>
      </c>
      <c r="O871" t="str">
        <f>"AGENZIA DELLE ENTRATE"</f>
        <v>AGENZIA DELLE ENTRATE</v>
      </c>
      <c r="P871" t="str">
        <f>"Z171808666: [0.00€ ]"</f>
        <v>Z171808666: [0.00€ ]</v>
      </c>
      <c r="Q871" t="str">
        <f>""</f>
        <v/>
      </c>
      <c r="R871" t="str">
        <f>""</f>
        <v/>
      </c>
      <c r="S871" t="str">
        <f>""</f>
        <v/>
      </c>
      <c r="T871" t="str">
        <f>"https://portaletrasparenza.consorziobacchiglione.it/dettagli/attodigara/43/acquisto-presso-l-agenzia-delle-entrate-ufficio-provinciale-di-venezia-territorio-dei-dati-cartografici-aggiornati-anno-2015.html"</f>
        <v>https://portaletrasparenza.consorziobacchiglione.it/dettagli/attodigara/43/acquisto-presso-l-agenzia-delle-entrate-ufficio-provinciale-di-venezia-territorio-dei-dati-cartografici-aggiornati-anno-2015.html</v>
      </c>
      <c r="U871" t="str">
        <f>""</f>
        <v/>
      </c>
      <c r="V871">
        <f>(SUBSTITUTE(Tabella1[[#This Row],[Importo di aggiudicazione]],".",","))-(SUBSTITUTE(  SUBSTITUTE(          SUBSTITUTE(Tabella1[[#This Row],[Dettaglio somme liquidate]],Tabella1[[#This Row],[CIG]]&amp;": [",""),"€ ]",""),".",","))</f>
        <v>4393.4399999999996</v>
      </c>
    </row>
    <row r="872" spans="1:22" x14ac:dyDescent="0.3">
      <c r="A872" t="str">
        <f>"Affidamento"</f>
        <v>Affidamento</v>
      </c>
      <c r="B872" t="str">
        <f>"Lavori di pulizia e ripristino di canalette in cemento anno 2021 - Bacino Delta Brenta"</f>
        <v>Lavori di pulizia e ripristino di canalette in cemento anno 2021 - Bacino Delta Brenta</v>
      </c>
      <c r="C872" t="str">
        <f>"Z1D3033FE8"</f>
        <v>Z1D3033FE8</v>
      </c>
      <c r="D872" t="str">
        <f>"18/01/2021"</f>
        <v>18/01/2021</v>
      </c>
      <c r="E872" t="str">
        <f>""</f>
        <v/>
      </c>
      <c r="F872" t="str">
        <f>""</f>
        <v/>
      </c>
      <c r="G872" t="str">
        <f>"37727.30"</f>
        <v>37727.30</v>
      </c>
      <c r="H872" t="str">
        <f>"Consorzio di bonifica Bacchiglione"</f>
        <v>Consorzio di bonifica Bacchiglione</v>
      </c>
      <c r="I872" t="str">
        <f>"92223390284"</f>
        <v>92223390284</v>
      </c>
      <c r="J872" t="str">
        <f>"23-AFFIDAMENTO DIRETTO"</f>
        <v>23-AFFIDAMENTO DIRETTO</v>
      </c>
      <c r="K872" t="str">
        <f>"15/01/2021"</f>
        <v>15/01/2021</v>
      </c>
      <c r="L872" t="str">
        <f>"30/04/2021"</f>
        <v>30/04/2021</v>
      </c>
      <c r="M872" t="str">
        <f>""</f>
        <v/>
      </c>
      <c r="N872" t="str">
        <f>"Viale Valter Via 1° Maggio 124 30010 Campagna Lupia VE | Quattro Emme Srl Via Dell'Artigianato, 32 - 45014 Porto Viro (RO) | Gastaldi Manuel Via Premaore 65 - 30010 Camponogara (VE)"</f>
        <v>Viale Valter Via 1° Maggio 124 30010 Campagna Lupia VE | Quattro Emme Srl Via Dell'Artigianato, 32 - 45014 Porto Viro (RO) | Gastaldi Manuel Via Premaore 65 - 30010 Camponogara (VE)</v>
      </c>
      <c r="O872" t="str">
        <f>"Viale Valter Via 1° Maggio 124 30010 Campagna Lupia VE"</f>
        <v>Viale Valter Via 1° Maggio 124 30010 Campagna Lupia VE</v>
      </c>
      <c r="P872" t="str">
        <f>"Z1D3033FE8: [37727.30€ ]"</f>
        <v>Z1D3033FE8: [37727.30€ ]</v>
      </c>
      <c r="Q872" t="str">
        <f>""</f>
        <v/>
      </c>
      <c r="R872" t="str">
        <f>""</f>
        <v/>
      </c>
      <c r="S872" t="str">
        <f>""</f>
        <v/>
      </c>
      <c r="T872" t="str">
        <f>"https://portaletrasparenza.consorziobacchiglione.it/dettagli/attodigara/6555/lavori-di-pulizia-e-ripristino-di-canalette-in-cemento-anno-2021-bacino-delta-brenta.html"</f>
        <v>https://portaletrasparenza.consorziobacchiglione.it/dettagli/attodigara/6555/lavori-di-pulizia-e-ripristino-di-canalette-in-cemento-anno-2021-bacino-delta-brenta.html</v>
      </c>
      <c r="U872" t="str">
        <f>"https://portaletrasparenza.consorziobacchiglione.it/download/attodigara/6555/63ac454acc9ed.PDF"</f>
        <v>https://portaletrasparenza.consorziobacchiglione.it/download/attodigara/6555/63ac454acc9ed.PDF</v>
      </c>
      <c r="V87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73" spans="1:22" x14ac:dyDescent="0.3">
      <c r="A873" t="str">
        <f>"Affidamento"</f>
        <v>Affidamento</v>
      </c>
      <c r="B873" t="str">
        <f>"Noleggio miniescavatore cingolato Kubota con piantapalo più dumper cingolato Takeuchi per lavori presso scolo Fiumicello"</f>
        <v>Noleggio miniescavatore cingolato Kubota con piantapalo più dumper cingolato Takeuchi per lavori presso scolo Fiumicello</v>
      </c>
      <c r="C873" t="str">
        <f>"Z7D3033872"</f>
        <v>Z7D3033872</v>
      </c>
      <c r="D873" t="str">
        <f>"18/01/2021"</f>
        <v>18/01/2021</v>
      </c>
      <c r="E873" t="str">
        <f>""</f>
        <v/>
      </c>
      <c r="F873" t="str">
        <f>""</f>
        <v/>
      </c>
      <c r="G873" t="str">
        <f>"5775.00"</f>
        <v>5775.00</v>
      </c>
      <c r="H873" t="str">
        <f>"Consorzio di bonifica Bacchiglione"</f>
        <v>Consorzio di bonifica Bacchiglione</v>
      </c>
      <c r="I873" t="str">
        <f>"92223390284"</f>
        <v>92223390284</v>
      </c>
      <c r="J873" t="str">
        <f>"23-AFFIDAMENTO DIRETTO"</f>
        <v>23-AFFIDAMENTO DIRETTO</v>
      </c>
      <c r="K873" t="str">
        <f>"15/01/2021"</f>
        <v>15/01/2021</v>
      </c>
      <c r="L873" t="str">
        <f>"20/01/2021"</f>
        <v>20/01/2021</v>
      </c>
      <c r="M873" t="str">
        <f>""</f>
        <v/>
      </c>
      <c r="N873" t="str">
        <f>"Sorme s.n.c. Via Monache 21 35030 Selvazzano Dentro PD"</f>
        <v>Sorme s.n.c. Via Monache 21 35030 Selvazzano Dentro PD</v>
      </c>
      <c r="O873" t="str">
        <f>"Sorme s.n.c. Via Monache 21 35030 Selvazzano Dentro PD"</f>
        <v>Sorme s.n.c. Via Monache 21 35030 Selvazzano Dentro PD</v>
      </c>
      <c r="P873" t="str">
        <f>"Z7D3033872: [5775.00€ ]"</f>
        <v>Z7D3033872: [5775.00€ ]</v>
      </c>
      <c r="Q873" t="str">
        <f>""</f>
        <v/>
      </c>
      <c r="R873" t="str">
        <f>""</f>
        <v/>
      </c>
      <c r="S873" t="str">
        <f>""</f>
        <v/>
      </c>
      <c r="T873" t="str">
        <f>"https://portaletrasparenza.consorziobacchiglione.it/dettagli/attodigara/6554/noleggio-miniescavatore-cingolato-kubota-con-piantapalo-piu-dumper-cingolato-takeuchi-per-lavori-presso-scolo-fiumicello.html"</f>
        <v>https://portaletrasparenza.consorziobacchiglione.it/dettagli/attodigara/6554/noleggio-miniescavatore-cingolato-kubota-con-piantapalo-piu-dumper-cingolato-takeuchi-per-lavori-presso-scolo-fiumicello.html</v>
      </c>
      <c r="U873" t="str">
        <f>"https://portaletrasparenza.consorziobacchiglione.it/download/attodigara/6554/63ac454a9470b.PDF"</f>
        <v>https://portaletrasparenza.consorziobacchiglione.it/download/attodigara/6554/63ac454a9470b.PDF</v>
      </c>
      <c r="V87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74" spans="1:22" x14ac:dyDescent="0.3">
      <c r="A874" t="str">
        <f>"Affidamento"</f>
        <v>Affidamento</v>
      </c>
      <c r="B874" t="str">
        <f>"Fornitura nuovo G.E. Trifase a benzina 3000 giri per C.O.Bovolenta"</f>
        <v>Fornitura nuovo G.E. Trifase a benzina 3000 giri per C.O.Bovolenta</v>
      </c>
      <c r="C874" t="str">
        <f>"ZC23031DF1"</f>
        <v>ZC23031DF1</v>
      </c>
      <c r="D874" t="str">
        <f>"18/01/2021"</f>
        <v>18/01/2021</v>
      </c>
      <c r="E874" t="str">
        <f>""</f>
        <v/>
      </c>
      <c r="F874" t="str">
        <f>""</f>
        <v/>
      </c>
      <c r="G874" t="str">
        <f>"1725.00"</f>
        <v>1725.00</v>
      </c>
      <c r="H874" t="str">
        <f>"Consorzio di bonifica Bacchiglione"</f>
        <v>Consorzio di bonifica Bacchiglione</v>
      </c>
      <c r="I874" t="str">
        <f>"92223390284"</f>
        <v>92223390284</v>
      </c>
      <c r="J874" t="str">
        <f>"23-AFFIDAMENTO DIRETTO"</f>
        <v>23-AFFIDAMENTO DIRETTO</v>
      </c>
      <c r="K874" t="str">
        <f>"15/01/2021"</f>
        <v>15/01/2021</v>
      </c>
      <c r="L874" t="str">
        <f>"28/02/2021"</f>
        <v>28/02/2021</v>
      </c>
      <c r="M874" t="str">
        <f>""</f>
        <v/>
      </c>
      <c r="N874" t="str">
        <f>"Scarpa Sergio Elettromeccanica S.n.c. di Scarpa Paola E C. Via A. Vivaldi 7 35028 Piove di Sacco PD"</f>
        <v>Scarpa Sergio Elettromeccanica S.n.c. di Scarpa Paola E C. Via A. Vivaldi 7 35028 Piove di Sacco PD</v>
      </c>
      <c r="O874" t="str">
        <f>"Scarpa Sergio Elettromeccanica S.n.c. di Scarpa Paola E C. Via A. Vivaldi 7 35028 Piove di Sacco PD"</f>
        <v>Scarpa Sergio Elettromeccanica S.n.c. di Scarpa Paola E C. Via A. Vivaldi 7 35028 Piove di Sacco PD</v>
      </c>
      <c r="P874" t="str">
        <f>"ZC23031DF1: [1725.00€ ]"</f>
        <v>ZC23031DF1: [1725.00€ ]</v>
      </c>
      <c r="Q874" t="str">
        <f>""</f>
        <v/>
      </c>
      <c r="R874" t="str">
        <f>""</f>
        <v/>
      </c>
      <c r="S874" t="str">
        <f>""</f>
        <v/>
      </c>
      <c r="T874" t="str">
        <f>"https://portaletrasparenza.consorziobacchiglione.it/dettagli/attodigara/6553/fornitura-nuovo-g-e-trifase-a-benzina-3000-giri-per-c-o-bovolenta.html"</f>
        <v>https://portaletrasparenza.consorziobacchiglione.it/dettagli/attodigara/6553/fornitura-nuovo-g-e-trifase-a-benzina-3000-giri-per-c-o-bovolenta.html</v>
      </c>
      <c r="U874" t="str">
        <f>"https://portaletrasparenza.consorziobacchiglione.it/download/attodigara/6553/63ac454a5c3ca.PDF"</f>
        <v>https://portaletrasparenza.consorziobacchiglione.it/download/attodigara/6553/63ac454a5c3ca.PDF</v>
      </c>
      <c r="V87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75" spans="1:22" x14ac:dyDescent="0.3">
      <c r="A875" t="str">
        <f>"Affidamento"</f>
        <v>Affidamento</v>
      </c>
      <c r="B875" t="str">
        <f>"Fornitura n.10 Smartphone mod. Wiko Y50 per personale esterno"</f>
        <v>Fornitura n.10 Smartphone mod. Wiko Y50 per personale esterno</v>
      </c>
      <c r="C875" t="str">
        <f>"Z0A3031878"</f>
        <v>Z0A3031878</v>
      </c>
      <c r="D875" t="str">
        <f>"18/01/2021"</f>
        <v>18/01/2021</v>
      </c>
      <c r="E875" t="str">
        <f>""</f>
        <v/>
      </c>
      <c r="F875" t="str">
        <f>""</f>
        <v/>
      </c>
      <c r="G875" t="str">
        <f>"573.03"</f>
        <v>573.03</v>
      </c>
      <c r="H875" t="str">
        <f>"Consorzio di bonifica Bacchiglione"</f>
        <v>Consorzio di bonifica Bacchiglione</v>
      </c>
      <c r="I875" t="str">
        <f>"92223390284"</f>
        <v>92223390284</v>
      </c>
      <c r="J875" t="str">
        <f>"23-AFFIDAMENTO DIRETTO"</f>
        <v>23-AFFIDAMENTO DIRETTO</v>
      </c>
      <c r="K875" t="str">
        <f>"15/01/2021"</f>
        <v>15/01/2021</v>
      </c>
      <c r="L875" t="str">
        <f>"25/01/2021"</f>
        <v>25/01/2021</v>
      </c>
      <c r="M875" t="str">
        <f>""</f>
        <v/>
      </c>
      <c r="N875" t="str">
        <f>"Idea Service SNC Via Noalese Sud 68 - 30030 Mellaredo di Pianiga (VE)"</f>
        <v>Idea Service SNC Via Noalese Sud 68 - 30030 Mellaredo di Pianiga (VE)</v>
      </c>
      <c r="O875" t="str">
        <f>"Idea Service SNC Via Noalese Sud 68 - 30030 Mellaredo di Pianiga (VE)"</f>
        <v>Idea Service SNC Via Noalese Sud 68 - 30030 Mellaredo di Pianiga (VE)</v>
      </c>
      <c r="P875" t="str">
        <f>"Z0A3031878: [573.03€ ]"</f>
        <v>Z0A3031878: [573.03€ ]</v>
      </c>
      <c r="Q875" t="str">
        <f>""</f>
        <v/>
      </c>
      <c r="R875" t="str">
        <f>""</f>
        <v/>
      </c>
      <c r="S875" t="str">
        <f>""</f>
        <v/>
      </c>
      <c r="T875" t="str">
        <f>"https://portaletrasparenza.consorziobacchiglione.it/dettagli/attodigara/6552/fornitura-n-10-smartphone-mod-wiko-y50-per-personale-esterno.html"</f>
        <v>https://portaletrasparenza.consorziobacchiglione.it/dettagli/attodigara/6552/fornitura-n-10-smartphone-mod-wiko-y50-per-personale-esterno.html</v>
      </c>
      <c r="U875" t="str">
        <f>"https://portaletrasparenza.consorziobacchiglione.it/download/attodigara/6552/63ac454a23f71.PDF"</f>
        <v>https://portaletrasparenza.consorziobacchiglione.it/download/attodigara/6552/63ac454a23f71.PDF</v>
      </c>
      <c r="V87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76" spans="1:22" x14ac:dyDescent="0.3">
      <c r="A876" t="str">
        <f>"Affidamento"</f>
        <v>Affidamento</v>
      </c>
      <c r="B876" t="str">
        <f>"Spostamento cavidotti ENEL in MT via Istria - Processo ID 006-03."</f>
        <v>Spostamento cavidotti ENEL in MT via Istria - Processo ID 006-03.</v>
      </c>
      <c r="C876" t="str">
        <f>"Z8D1886F7F"</f>
        <v>Z8D1886F7F</v>
      </c>
      <c r="D876" t="str">
        <f>"04/11/2021"</f>
        <v>04/11/2021</v>
      </c>
      <c r="E876" t="str">
        <f>""</f>
        <v/>
      </c>
      <c r="F876" t="str">
        <f>""</f>
        <v/>
      </c>
      <c r="G876" t="str">
        <f>"15883.00"</f>
        <v>15883.00</v>
      </c>
      <c r="H876" t="str">
        <f>"Consorzio di bonifica Bacchiglione"</f>
        <v>Consorzio di bonifica Bacchiglione</v>
      </c>
      <c r="I876" t="str">
        <f>"92223390284"</f>
        <v>92223390284</v>
      </c>
      <c r="J876" t="str">
        <f>"23-AFFIDAMENTO DIRETTO"</f>
        <v>23-AFFIDAMENTO DIRETTO</v>
      </c>
      <c r="K876" t="str">
        <f>"15/02/2021"</f>
        <v>15/02/2021</v>
      </c>
      <c r="L876" t="str">
        <f>"24/05/2021"</f>
        <v>24/05/2021</v>
      </c>
      <c r="M876" t="str">
        <f>""</f>
        <v/>
      </c>
      <c r="N876" t="str">
        <f>"F.lli Collesei Srl"</f>
        <v>F.lli Collesei Srl</v>
      </c>
      <c r="O876" t="str">
        <f>"F.lli Collesei Srl"</f>
        <v>F.lli Collesei Srl</v>
      </c>
      <c r="P876" t="s">
        <v>153</v>
      </c>
      <c r="Q876" t="str">
        <f>""</f>
        <v/>
      </c>
      <c r="R876" t="str">
        <f>""</f>
        <v/>
      </c>
      <c r="S876" t="str">
        <f>""</f>
        <v/>
      </c>
      <c r="T876" t="str">
        <f>"https://portaletrasparenza.consorziobacchiglione.it/dettagli/attodigara/153/spostamento-cavidotti-enel-in-mt-via-istria-processo-id-006-03.html"</f>
        <v>https://portaletrasparenza.consorziobacchiglione.it/dettagli/attodigara/153/spostamento-cavidotti-enel-in-mt-via-istria-processo-id-006-03.html</v>
      </c>
      <c r="U876" t="str">
        <f>""</f>
        <v/>
      </c>
      <c r="V87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77" spans="1:22" x14ac:dyDescent="0.3">
      <c r="A877" t="str">
        <f>"Affidamento"</f>
        <v>Affidamento</v>
      </c>
      <c r="B877" t="str">
        <f>"Fornitura Hard Disk Nas Server per unità di backup server tecnici ed amministrazione."</f>
        <v>Fornitura Hard Disk Nas Server per unità di backup server tecnici ed amministrazione.</v>
      </c>
      <c r="C877" t="str">
        <f>"ZCA1887C04"</f>
        <v>ZCA1887C04</v>
      </c>
      <c r="D877" t="str">
        <f>"04/11/2021"</f>
        <v>04/11/2021</v>
      </c>
      <c r="E877" t="str">
        <f>""</f>
        <v/>
      </c>
      <c r="F877" t="str">
        <f>""</f>
        <v/>
      </c>
      <c r="G877" t="str">
        <f>"1480.00"</f>
        <v>1480.00</v>
      </c>
      <c r="H877" t="str">
        <f>"Consorzio di bonifica Bacchiglione"</f>
        <v>Consorzio di bonifica Bacchiglione</v>
      </c>
      <c r="I877" t="str">
        <f>"92223390284"</f>
        <v>92223390284</v>
      </c>
      <c r="J877" t="str">
        <f>"23-AFFIDAMENTO DIRETTO"</f>
        <v>23-AFFIDAMENTO DIRETTO</v>
      </c>
      <c r="K877" t="str">
        <f>"15/02/2021"</f>
        <v>15/02/2021</v>
      </c>
      <c r="L877" t="str">
        <f>"24/02/2021"</f>
        <v>24/02/2021</v>
      </c>
      <c r="M877" t="str">
        <f>""</f>
        <v/>
      </c>
      <c r="N877" t="str">
        <f>"TPH Elettronica s.a.s. Via N. Pizzolo 51A 35132 Padova"</f>
        <v>TPH Elettronica s.a.s. Via N. Pizzolo 51A 35132 Padova</v>
      </c>
      <c r="O877" t="str">
        <f>"TPH Elettronica s.a.s. Via N. Pizzolo 51A 35132 Padova"</f>
        <v>TPH Elettronica s.a.s. Via N. Pizzolo 51A 35132 Padova</v>
      </c>
      <c r="P877" t="str">
        <f>"ZCA1887C04: [1480.00€ ]"</f>
        <v>ZCA1887C04: [1480.00€ ]</v>
      </c>
      <c r="Q877" t="str">
        <f>""</f>
        <v/>
      </c>
      <c r="R877" t="str">
        <f>""</f>
        <v/>
      </c>
      <c r="S877" t="str">
        <f>""</f>
        <v/>
      </c>
      <c r="T877" t="str">
        <f>"https://portaletrasparenza.consorziobacchiglione.it/dettagli/attodigara/160/fornitura-hard-disk-nas-server-per-unita-di-backup-server-tecnici-ed-amministrazione.html"</f>
        <v>https://portaletrasparenza.consorziobacchiglione.it/dettagli/attodigara/160/fornitura-hard-disk-nas-server-per-unita-di-backup-server-tecnici-ed-amministrazione.html</v>
      </c>
      <c r="U877" t="str">
        <f>""</f>
        <v/>
      </c>
      <c r="V8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78" spans="1:22" x14ac:dyDescent="0.3">
      <c r="A878" t="str">
        <f>"Affidamento"</f>
        <v>Affidamento</v>
      </c>
      <c r="B878" t="str">
        <f>"Manutenzione e riparazione mezzo con targa: AGK711."</f>
        <v>Manutenzione e riparazione mezzo con targa: AGK711.</v>
      </c>
      <c r="C878" t="str">
        <f>"Z7D1886357"</f>
        <v>Z7D1886357</v>
      </c>
      <c r="D878" t="str">
        <f>"04/11/2021"</f>
        <v>04/11/2021</v>
      </c>
      <c r="E878" t="str">
        <f>""</f>
        <v/>
      </c>
      <c r="F878" t="str">
        <f>""</f>
        <v/>
      </c>
      <c r="G878" t="str">
        <f>"552.84"</f>
        <v>552.84</v>
      </c>
      <c r="H878" t="str">
        <f>"Consorzio di bonifica Bacchiglione"</f>
        <v>Consorzio di bonifica Bacchiglione</v>
      </c>
      <c r="I878" t="str">
        <f>"92223390284"</f>
        <v>92223390284</v>
      </c>
      <c r="J878" t="str">
        <f>"23-AFFIDAMENTO DIRETTO"</f>
        <v>23-AFFIDAMENTO DIRETTO</v>
      </c>
      <c r="K878" t="str">
        <f>"15/02/2021"</f>
        <v>15/02/2021</v>
      </c>
      <c r="L878" t="str">
        <f>"20/07/2021"</f>
        <v>20/07/2021</v>
      </c>
      <c r="M878" t="str">
        <f>""</f>
        <v/>
      </c>
      <c r="N878" t="str">
        <f>"Adriatica Commerciale Macchine s.r.l. Via dell'Artigianato 5 35020 Due Carrare PD"</f>
        <v>Adriatica Commerciale Macchine s.r.l. Via dell'Artigianato 5 35020 Due Carrare PD</v>
      </c>
      <c r="O878" t="str">
        <f>"Adriatica Commerciale Macchine s.r.l. Via dell'Artigianato 5 35020 Due Carrare PD"</f>
        <v>Adriatica Commerciale Macchine s.r.l. Via dell'Artigianato 5 35020 Due Carrare PD</v>
      </c>
      <c r="P878" t="str">
        <f>"Z7D1886357: [552.84€ ]"</f>
        <v>Z7D1886357: [552.84€ ]</v>
      </c>
      <c r="Q878" t="str">
        <f>""</f>
        <v/>
      </c>
      <c r="R878" t="str">
        <f>""</f>
        <v/>
      </c>
      <c r="S878" t="str">
        <f>""</f>
        <v/>
      </c>
      <c r="T878" t="str">
        <f>"https://portaletrasparenza.consorziobacchiglione.it/dettagli/attodigara/159/manutenzione-e-riparazione-mezzo-con-targa-agk711.html"</f>
        <v>https://portaletrasparenza.consorziobacchiglione.it/dettagli/attodigara/159/manutenzione-e-riparazione-mezzo-con-targa-agk711.html</v>
      </c>
      <c r="U878" t="str">
        <f>""</f>
        <v/>
      </c>
      <c r="V87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79" spans="1:22" x14ac:dyDescent="0.3">
      <c r="A879" t="str">
        <f>"Affidamento"</f>
        <v>Affidamento</v>
      </c>
      <c r="B879" t="str">
        <f>"Affidamento servizio di autorimessa auto personale consortile e amministratori."</f>
        <v>Affidamento servizio di autorimessa auto personale consortile e amministratori.</v>
      </c>
      <c r="C879" t="str">
        <f>"ZC1189AF6B"</f>
        <v>ZC1189AF6B</v>
      </c>
      <c r="D879" t="str">
        <f>"04/11/2021"</f>
        <v>04/11/2021</v>
      </c>
      <c r="E879" t="str">
        <f>""</f>
        <v/>
      </c>
      <c r="F879" t="str">
        <f>""</f>
        <v/>
      </c>
      <c r="G879" t="str">
        <f>"4396.00"</f>
        <v>4396.00</v>
      </c>
      <c r="H879" t="str">
        <f>"Consorzio di bonifica Bacchiglione"</f>
        <v>Consorzio di bonifica Bacchiglione</v>
      </c>
      <c r="I879" t="str">
        <f>"92223390284"</f>
        <v>92223390284</v>
      </c>
      <c r="J879" t="str">
        <f>"23-AFFIDAMENTO DIRETTO"</f>
        <v>23-AFFIDAMENTO DIRETTO</v>
      </c>
      <c r="K879" t="str">
        <f>"15/02/2021"</f>
        <v>15/02/2021</v>
      </c>
      <c r="L879" t="str">
        <f>"13/12/2021"</f>
        <v>13/12/2021</v>
      </c>
      <c r="M879" t="str">
        <f>""</f>
        <v/>
      </c>
      <c r="N879" t="str">
        <f>"AUTORIMESSA BARBARIGO DI PACCAGNELLA FLAVIO"</f>
        <v>AUTORIMESSA BARBARIGO DI PACCAGNELLA FLAVIO</v>
      </c>
      <c r="O879" t="str">
        <f>"AUTORIMESSA BARBARIGO DI PACCAGNELLA FLAVIO"</f>
        <v>AUTORIMESSA BARBARIGO DI PACCAGNELLA FLAVIO</v>
      </c>
      <c r="P879" t="str">
        <f>"ZC1189AF6B: [4396.00€ ]"</f>
        <v>ZC1189AF6B: [4396.00€ ]</v>
      </c>
      <c r="Q879" t="str">
        <f>""</f>
        <v/>
      </c>
      <c r="R879" t="str">
        <f>""</f>
        <v/>
      </c>
      <c r="S879" t="str">
        <f>""</f>
        <v/>
      </c>
      <c r="T879" t="str">
        <f>"https://portaletrasparenza.consorziobacchiglione.it/dettagli/attodigara/157/affidamento-servizio-di-autorimessa-auto-personale-consortile-e-amministratori.html"</f>
        <v>https://portaletrasparenza.consorziobacchiglione.it/dettagli/attodigara/157/affidamento-servizio-di-autorimessa-auto-personale-consortile-e-amministratori.html</v>
      </c>
      <c r="U879" t="str">
        <f>""</f>
        <v/>
      </c>
      <c r="V8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80" spans="1:22" x14ac:dyDescent="0.3">
      <c r="A880" t="str">
        <f>"Affidamento"</f>
        <v>Affidamento</v>
      </c>
      <c r="B880" t="str">
        <f>"Affidamento servizio di aggiornamento della piattaforma di rendicontazione: report di rendicontazione pagamenti contributi consortili."</f>
        <v>Affidamento servizio di aggiornamento della piattaforma di rendicontazione: report di rendicontazione pagamenti contributi consortili.</v>
      </c>
      <c r="C880" t="str">
        <f>"Z71189A795"</f>
        <v>Z71189A795</v>
      </c>
      <c r="D880" t="str">
        <f>"04/11/2021"</f>
        <v>04/11/2021</v>
      </c>
      <c r="E880" t="str">
        <f>""</f>
        <v/>
      </c>
      <c r="F880" t="str">
        <f>""</f>
        <v/>
      </c>
      <c r="G880" t="str">
        <f>"468.00"</f>
        <v>468.00</v>
      </c>
      <c r="H880" t="str">
        <f>"Consorzio di bonifica Bacchiglione"</f>
        <v>Consorzio di bonifica Bacchiglione</v>
      </c>
      <c r="I880" t="str">
        <f>"92223390284"</f>
        <v>92223390284</v>
      </c>
      <c r="J880" t="str">
        <f>"23-AFFIDAMENTO DIRETTO"</f>
        <v>23-AFFIDAMENTO DIRETTO</v>
      </c>
      <c r="K880" t="str">
        <f>"15/02/2021"</f>
        <v>15/02/2021</v>
      </c>
      <c r="L880" t="str">
        <f>"20/05/2021"</f>
        <v>20/05/2021</v>
      </c>
      <c r="M880" t="str">
        <f>""</f>
        <v/>
      </c>
      <c r="N880" t="str">
        <f>"STUDIO VERTIX"</f>
        <v>STUDIO VERTIX</v>
      </c>
      <c r="O880" t="str">
        <f>"STUDIO VERTIX"</f>
        <v>STUDIO VERTIX</v>
      </c>
      <c r="P880" t="str">
        <f>"Z71189A795: [468.00€ ]"</f>
        <v>Z71189A795: [468.00€ ]</v>
      </c>
      <c r="Q880" t="str">
        <f>""</f>
        <v/>
      </c>
      <c r="R880" t="str">
        <f>""</f>
        <v/>
      </c>
      <c r="S880" t="str">
        <f>""</f>
        <v/>
      </c>
      <c r="T880" t="str">
        <f>"https://portaletrasparenza.consorziobacchiglione.it/dettagli/attodigara/156/affidamento-servizio-di-aggiornamento-della-piattaforma-di-rendicontazione-report-di-rendicontazione-pagamenti-contributi-consortili.html"</f>
        <v>https://portaletrasparenza.consorziobacchiglione.it/dettagli/attodigara/156/affidamento-servizio-di-aggiornamento-della-piattaforma-di-rendicontazione-report-di-rendicontazione-pagamenti-contributi-consortili.html</v>
      </c>
      <c r="U880" t="str">
        <f>""</f>
        <v/>
      </c>
      <c r="V88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81" spans="1:22" x14ac:dyDescent="0.3">
      <c r="A881" t="str">
        <f>"Affidamento"</f>
        <v>Affidamento</v>
      </c>
      <c r="B881" t="str">
        <f>"Affidamento servizio di asssitenza e gestione anno 2016 applicativi web - rendicontazione pagamenti contributi consortili."</f>
        <v>Affidamento servizio di asssitenza e gestione anno 2016 applicativi web - rendicontazione pagamenti contributi consortili.</v>
      </c>
      <c r="C881" t="str">
        <f>"ZE0189A71B"</f>
        <v>ZE0189A71B</v>
      </c>
      <c r="D881" t="str">
        <f>"04/11/2021"</f>
        <v>04/11/2021</v>
      </c>
      <c r="E881" t="str">
        <f>""</f>
        <v/>
      </c>
      <c r="F881" t="str">
        <f>""</f>
        <v/>
      </c>
      <c r="G881" t="str">
        <f>"10088.00"</f>
        <v>10088.00</v>
      </c>
      <c r="H881" t="str">
        <f>"Consorzio di bonifica Bacchiglione"</f>
        <v>Consorzio di bonifica Bacchiglione</v>
      </c>
      <c r="I881" t="str">
        <f>"92223390284"</f>
        <v>92223390284</v>
      </c>
      <c r="J881" t="str">
        <f>"23-AFFIDAMENTO DIRETTO"</f>
        <v>23-AFFIDAMENTO DIRETTO</v>
      </c>
      <c r="K881" t="str">
        <f>"15/02/2021"</f>
        <v>15/02/2021</v>
      </c>
      <c r="L881" t="str">
        <f>"31/12/2021"</f>
        <v>31/12/2021</v>
      </c>
      <c r="M881" t="str">
        <f>""</f>
        <v/>
      </c>
      <c r="N881" t="str">
        <f>"STUDIO VERTIX"</f>
        <v>STUDIO VERTIX</v>
      </c>
      <c r="O881" t="str">
        <f>"STUDIO VERTIX"</f>
        <v>STUDIO VERTIX</v>
      </c>
      <c r="P881" t="str">
        <f>"ZE0189A71B: [10088.00€ ]"</f>
        <v>ZE0189A71B: [10088.00€ ]</v>
      </c>
      <c r="Q881" t="str">
        <f>""</f>
        <v/>
      </c>
      <c r="R881" t="str">
        <f>""</f>
        <v/>
      </c>
      <c r="S881" t="str">
        <f>""</f>
        <v/>
      </c>
      <c r="T881" t="str">
        <f>"https://portaletrasparenza.consorziobacchiglione.it/dettagli/attodigara/155/affidamento-servizio-di-asssitenza-e-gestione-anno-2016-applicativi-web-rendicontazione-pagamenti-contributi-consortili.html"</f>
        <v>https://portaletrasparenza.consorziobacchiglione.it/dettagli/attodigara/155/affidamento-servizio-di-asssitenza-e-gestione-anno-2016-applicativi-web-rendicontazione-pagamenti-contributi-consortili.html</v>
      </c>
      <c r="U881" t="str">
        <f>""</f>
        <v/>
      </c>
      <c r="V88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82" spans="1:22" x14ac:dyDescent="0.3">
      <c r="A882" t="str">
        <f>"Affidamento"</f>
        <v>Affidamento</v>
      </c>
      <c r="B882" t="str">
        <f>"Riparazione delle fessure sui muri in c.a. dell'impianto Idrovoro di Corte. - Processo ID 005-08."</f>
        <v>Riparazione delle fessure sui muri in c.a. dell'impianto Idrovoro di Corte. - Processo ID 005-08.</v>
      </c>
      <c r="C882" t="str">
        <f>"Z1F1887911"</f>
        <v>Z1F1887911</v>
      </c>
      <c r="D882" t="str">
        <f>"04/11/2021"</f>
        <v>04/11/2021</v>
      </c>
      <c r="E882" t="str">
        <f>""</f>
        <v/>
      </c>
      <c r="F882" t="str">
        <f>""</f>
        <v/>
      </c>
      <c r="G882" t="str">
        <f>"3500.00"</f>
        <v>3500.00</v>
      </c>
      <c r="H882" t="str">
        <f>"Consorzio di bonifica Bacchiglione"</f>
        <v>Consorzio di bonifica Bacchiglione</v>
      </c>
      <c r="I882" t="str">
        <f>"92223390284"</f>
        <v>92223390284</v>
      </c>
      <c r="J882" t="str">
        <f>"23-AFFIDAMENTO DIRETTO"</f>
        <v>23-AFFIDAMENTO DIRETTO</v>
      </c>
      <c r="K882" t="str">
        <f>"15/02/2021"</f>
        <v>15/02/2021</v>
      </c>
      <c r="L882" t="str">
        <f>"19/04/2021"</f>
        <v>19/04/2021</v>
      </c>
      <c r="M882" t="str">
        <f>""</f>
        <v/>
      </c>
      <c r="N882" t="str">
        <f>"Costruzioni Stradali Martini Silvestro s.r.l."</f>
        <v>Costruzioni Stradali Martini Silvestro s.r.l.</v>
      </c>
      <c r="O882" t="str">
        <f>"Costruzioni Stradali Martini Silvestro s.r.l."</f>
        <v>Costruzioni Stradali Martini Silvestro s.r.l.</v>
      </c>
      <c r="P882" t="str">
        <f>"Z1F1887911: [3500.00€ ]"</f>
        <v>Z1F1887911: [3500.00€ ]</v>
      </c>
      <c r="Q882" t="str">
        <f>""</f>
        <v/>
      </c>
      <c r="R882" t="str">
        <f>""</f>
        <v/>
      </c>
      <c r="S882" t="str">
        <f>""</f>
        <v/>
      </c>
      <c r="T882" t="str">
        <f>"https://portaletrasparenza.consorziobacchiglione.it/dettagli/attodigara/154/riparazione-delle-fessure-sui-muri-in-c-a-dell-impianto-idrovoro-di-corte-processo-id-005-08.html"</f>
        <v>https://portaletrasparenza.consorziobacchiglione.it/dettagli/attodigara/154/riparazione-delle-fessure-sui-muri-in-c-a-dell-impianto-idrovoro-di-corte-processo-id-005-08.html</v>
      </c>
      <c r="U882" t="str">
        <f>""</f>
        <v/>
      </c>
      <c r="V8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83" spans="1:22" x14ac:dyDescent="0.3">
      <c r="A883" t="str">
        <f>"Affidamento"</f>
        <v>Affidamento</v>
      </c>
      <c r="B883" t="str">
        <f>"Fornitura motosega Sthil MS 193 T per C.O.S.Margherita."</f>
        <v>Fornitura motosega Sthil MS 193 T per C.O.S.Margherita.</v>
      </c>
      <c r="C883" t="str">
        <f>"ZBE188623B"</f>
        <v>ZBE188623B</v>
      </c>
      <c r="D883" t="str">
        <f>"04/11/2021"</f>
        <v>04/11/2021</v>
      </c>
      <c r="E883" t="str">
        <f>""</f>
        <v/>
      </c>
      <c r="F883" t="str">
        <f>""</f>
        <v/>
      </c>
      <c r="G883" t="str">
        <f>"340.16"</f>
        <v>340.16</v>
      </c>
      <c r="H883" t="str">
        <f>"Consorzio di bonifica Bacchiglione"</f>
        <v>Consorzio di bonifica Bacchiglione</v>
      </c>
      <c r="I883" t="str">
        <f>"92223390284"</f>
        <v>92223390284</v>
      </c>
      <c r="J883" t="str">
        <f>"23-AFFIDAMENTO DIRETTO"</f>
        <v>23-AFFIDAMENTO DIRETTO</v>
      </c>
      <c r="K883" t="str">
        <f>"15/02/2021"</f>
        <v>15/02/2021</v>
      </c>
      <c r="L883" t="str">
        <f>"31/12/2021"</f>
        <v>31/12/2021</v>
      </c>
      <c r="M883" t="str">
        <f>""</f>
        <v/>
      </c>
      <c r="N883" t="str">
        <f>"Mini Motor di Vettorato Gabriele Via Puccini 3 35020 Brugine PD"</f>
        <v>Mini Motor di Vettorato Gabriele Via Puccini 3 35020 Brugine PD</v>
      </c>
      <c r="O883" t="str">
        <f>"Mini Motor di Vettorato Gabriele Via Puccini 3 35020 Brugine PD"</f>
        <v>Mini Motor di Vettorato Gabriele Via Puccini 3 35020 Brugine PD</v>
      </c>
      <c r="P883" t="str">
        <f>"ZBE188623B: [0.00€ ]"</f>
        <v>ZBE188623B: [0.00€ ]</v>
      </c>
      <c r="Q883" t="str">
        <f>""</f>
        <v/>
      </c>
      <c r="R883" t="str">
        <f>""</f>
        <v/>
      </c>
      <c r="S883" t="str">
        <f>""</f>
        <v/>
      </c>
      <c r="T883" t="str">
        <f>"https://portaletrasparenza.consorziobacchiglione.it/dettagli/attodigara/158/fornitura-motosega-sthil-ms-193-t-per-c-o-s-margherita.html"</f>
        <v>https://portaletrasparenza.consorziobacchiglione.it/dettagli/attodigara/158/fornitura-motosega-sthil-ms-193-t-per-c-o-s-margherita.html</v>
      </c>
      <c r="U883" t="str">
        <f>""</f>
        <v/>
      </c>
      <c r="V883">
        <f>(SUBSTITUTE(Tabella1[[#This Row],[Importo di aggiudicazione]],".",","))-(SUBSTITUTE(  SUBSTITUTE(          SUBSTITUTE(Tabella1[[#This Row],[Dettaglio somme liquidate]],Tabella1[[#This Row],[CIG]]&amp;": [",""),"€ ]",""),".",","))</f>
        <v>340.16</v>
      </c>
    </row>
    <row r="884" spans="1:22" x14ac:dyDescent="0.3">
      <c r="A884" t="str">
        <f>"Affidamento"</f>
        <v>Affidamento</v>
      </c>
      <c r="B884" t="str">
        <f>"Riparazione e manutenzione mezzi con targa: EW930NS, FT040WG"</f>
        <v>Riparazione e manutenzione mezzi con targa: EW930NS, FT040WG</v>
      </c>
      <c r="C884" t="str">
        <f>"Z0930A34EE"</f>
        <v>Z0930A34EE</v>
      </c>
      <c r="D884" t="str">
        <f>"16/02/2021"</f>
        <v>16/02/2021</v>
      </c>
      <c r="E884" t="str">
        <f>""</f>
        <v/>
      </c>
      <c r="F884" t="str">
        <f>""</f>
        <v/>
      </c>
      <c r="G884" t="str">
        <f>"201.09"</f>
        <v>201.09</v>
      </c>
      <c r="H884" t="str">
        <f>"Consorzio di bonifica Bacchiglione"</f>
        <v>Consorzio di bonifica Bacchiglione</v>
      </c>
      <c r="I884" t="str">
        <f>"92223390284"</f>
        <v>92223390284</v>
      </c>
      <c r="J884" t="str">
        <f>"23-AFFIDAMENTO DIRETTO"</f>
        <v>23-AFFIDAMENTO DIRETTO</v>
      </c>
      <c r="K884" t="str">
        <f>"15/02/2021"</f>
        <v>15/02/2021</v>
      </c>
      <c r="L884" t="str">
        <f>"28/02/2021"</f>
        <v>28/02/2021</v>
      </c>
      <c r="M884" t="str">
        <f>""</f>
        <v/>
      </c>
      <c r="N884" t="str">
        <f>"Autoriparazioni Ravazzolo s.r.l. Via Roma 259a 35030 Montemerlo di Cervarese Santa Croce PD"</f>
        <v>Autoriparazioni Ravazzolo s.r.l. Via Roma 259a 35030 Montemerlo di Cervarese Santa Croce PD</v>
      </c>
      <c r="O884" t="str">
        <f>"Autoriparazioni Ravazzolo s.r.l. Via Roma 259a 35030 Montemerlo di Cervarese Santa Croce PD"</f>
        <v>Autoriparazioni Ravazzolo s.r.l. Via Roma 259a 35030 Montemerlo di Cervarese Santa Croce PD</v>
      </c>
      <c r="P884" t="s">
        <v>328</v>
      </c>
      <c r="Q884" t="str">
        <f>""</f>
        <v/>
      </c>
      <c r="R884" t="str">
        <f>""</f>
        <v/>
      </c>
      <c r="S884" t="str">
        <f>""</f>
        <v/>
      </c>
      <c r="T884" t="str">
        <f>"https://portaletrasparenza.consorziobacchiglione.it/dettagli/attodigara/6629/riparazione-e-manutenzione-mezzi-con-targa-ew930ns-ft040wg.html"</f>
        <v>https://portaletrasparenza.consorziobacchiglione.it/dettagli/attodigara/6629/riparazione-e-manutenzione-mezzi-con-targa-ew930ns-ft040wg.html</v>
      </c>
      <c r="U884" t="str">
        <f>"https://portaletrasparenza.consorziobacchiglione.it/download/attodigara/6629/63ac455b22cb2.PDF"</f>
        <v>https://portaletrasparenza.consorziobacchiglione.it/download/attodigara/6629/63ac455b22cb2.PDF</v>
      </c>
      <c r="V8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85" spans="1:22" x14ac:dyDescent="0.3">
      <c r="A885" t="str">
        <f>"Affidamento"</f>
        <v>Affidamento</v>
      </c>
      <c r="B885" t="str">
        <f>"Pulizia tombinature e lavaggio condotte su scoli: Albignasego, Boracchio, Rocchetti Diramazione, Guasti."</f>
        <v>Pulizia tombinature e lavaggio condotte su scoli: Albignasego, Boracchio, Rocchetti Diramazione, Guasti.</v>
      </c>
      <c r="C885" t="str">
        <f>"ZE819006CD"</f>
        <v>ZE819006CD</v>
      </c>
      <c r="D885" t="str">
        <f>"04/11/2021"</f>
        <v>04/11/2021</v>
      </c>
      <c r="E885" t="str">
        <f>""</f>
        <v/>
      </c>
      <c r="F885" t="str">
        <f>""</f>
        <v/>
      </c>
      <c r="G885" t="str">
        <f>"800.00"</f>
        <v>800.00</v>
      </c>
      <c r="H885" t="str">
        <f>"Consorzio di bonifica Bacchiglione"</f>
        <v>Consorzio di bonifica Bacchiglione</v>
      </c>
      <c r="I885" t="str">
        <f>"92223390284"</f>
        <v>92223390284</v>
      </c>
      <c r="J885" t="str">
        <f>"23-AFFIDAMENTO DIRETTO"</f>
        <v>23-AFFIDAMENTO DIRETTO</v>
      </c>
      <c r="K885" t="str">
        <f>"15/03/2021"</f>
        <v>15/03/2021</v>
      </c>
      <c r="L885" t="str">
        <f>"09/06/2021"</f>
        <v>09/06/2021</v>
      </c>
      <c r="M885" t="str">
        <f>""</f>
        <v/>
      </c>
      <c r="N885" t="str">
        <f>"Carrarespurghi di Peraro Filippo Via G Verdi 4 35020 Due Carrare PD"</f>
        <v>Carrarespurghi di Peraro Filippo Via G Verdi 4 35020 Due Carrare PD</v>
      </c>
      <c r="O885" t="str">
        <f>"Carrarespurghi di Peraro Filippo Via G Verdi 4 35020 Due Carrare PD"</f>
        <v>Carrarespurghi di Peraro Filippo Via G Verdi 4 35020 Due Carrare PD</v>
      </c>
      <c r="P885" t="str">
        <f>"ZE819006CD: [800.00€ ]"</f>
        <v>ZE819006CD: [800.00€ ]</v>
      </c>
      <c r="Q885" t="str">
        <f>""</f>
        <v/>
      </c>
      <c r="R885" t="str">
        <f>""</f>
        <v/>
      </c>
      <c r="S885" t="str">
        <f>""</f>
        <v/>
      </c>
      <c r="T885" t="str">
        <f>"https://portaletrasparenza.consorziobacchiglione.it/dettagli/attodigara/234/pulizia-tombinature-e-lavaggio-condotte-su-scoli-albignasego-boracchio-rocchetti-diramazione-guasti.html"</f>
        <v>https://portaletrasparenza.consorziobacchiglione.it/dettagli/attodigara/234/pulizia-tombinature-e-lavaggio-condotte-su-scoli-albignasego-boracchio-rocchetti-diramazione-guasti.html</v>
      </c>
      <c r="U885" t="str">
        <f>""</f>
        <v/>
      </c>
      <c r="V8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86" spans="1:22" x14ac:dyDescent="0.3">
      <c r="A886" t="str">
        <f>"Affidamento"</f>
        <v>Affidamento</v>
      </c>
      <c r="B886" t="str">
        <f>"Noleggio miniescavatore per lavori scolo Bolzani."</f>
        <v>Noleggio miniescavatore per lavori scolo Bolzani.</v>
      </c>
      <c r="C886" t="str">
        <f>"ZC2190065D"</f>
        <v>ZC2190065D</v>
      </c>
      <c r="D886" t="str">
        <f>"04/11/2021"</f>
        <v>04/11/2021</v>
      </c>
      <c r="E886" t="str">
        <f>""</f>
        <v/>
      </c>
      <c r="F886" t="str">
        <f>""</f>
        <v/>
      </c>
      <c r="G886" t="str">
        <f>"2100.00"</f>
        <v>2100.00</v>
      </c>
      <c r="H886" t="str">
        <f>"Consorzio di bonifica Bacchiglione"</f>
        <v>Consorzio di bonifica Bacchiglione</v>
      </c>
      <c r="I886" t="str">
        <f>"92223390284"</f>
        <v>92223390284</v>
      </c>
      <c r="J886" t="str">
        <f>"23-AFFIDAMENTO DIRETTO"</f>
        <v>23-AFFIDAMENTO DIRETTO</v>
      </c>
      <c r="K886" t="str">
        <f>"15/03/2021"</f>
        <v>15/03/2021</v>
      </c>
      <c r="L886" t="str">
        <f>"18/05/2021"</f>
        <v>18/05/2021</v>
      </c>
      <c r="M886" t="str">
        <f>""</f>
        <v/>
      </c>
      <c r="N886" t="str">
        <f>"Sorme Noleggi s.a.s. Via Monache 21 35030 Selvazzano Dentro PD"</f>
        <v>Sorme Noleggi s.a.s. Via Monache 21 35030 Selvazzano Dentro PD</v>
      </c>
      <c r="O886" t="str">
        <f>"Sorme Noleggi s.a.s. Via Monache 21 35030 Selvazzano Dentro PD"</f>
        <v>Sorme Noleggi s.a.s. Via Monache 21 35030 Selvazzano Dentro PD</v>
      </c>
      <c r="P886" t="str">
        <f>"ZC2190065D: [2100.00€ ]"</f>
        <v>ZC2190065D: [2100.00€ ]</v>
      </c>
      <c r="Q886" t="str">
        <f>""</f>
        <v/>
      </c>
      <c r="R886" t="str">
        <f>""</f>
        <v/>
      </c>
      <c r="S886" t="str">
        <f>""</f>
        <v/>
      </c>
      <c r="T886" t="str">
        <f>"https://portaletrasparenza.consorziobacchiglione.it/dettagli/attodigara/233/noleggio-miniescavatore-per-lavori-scolo-bolzani.html"</f>
        <v>https://portaletrasparenza.consorziobacchiglione.it/dettagli/attodigara/233/noleggio-miniescavatore-per-lavori-scolo-bolzani.html</v>
      </c>
      <c r="U886" t="str">
        <f>""</f>
        <v/>
      </c>
      <c r="V88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87" spans="1:22" x14ac:dyDescent="0.3">
      <c r="A887" t="str">
        <f>"Affidamento"</f>
        <v>Affidamento</v>
      </c>
      <c r="B887" t="str">
        <f>"Affidamento del servizio PA - Pay: soluzione incassi per gli enti pubblici - canale ATM anno 2016"</f>
        <v>Affidamento del servizio PA - Pay: soluzione incassi per gli enti pubblici - canale ATM anno 2016</v>
      </c>
      <c r="C887" t="str">
        <f>"Z67190055E"</f>
        <v>Z67190055E</v>
      </c>
      <c r="D887" t="str">
        <f>"04/11/2021"</f>
        <v>04/11/2021</v>
      </c>
      <c r="E887" t="str">
        <f>""</f>
        <v/>
      </c>
      <c r="F887" t="str">
        <f>""</f>
        <v/>
      </c>
      <c r="G887" t="str">
        <f>"1500.00"</f>
        <v>1500.00</v>
      </c>
      <c r="H887" t="str">
        <f>"Consorzio di bonifica Bacchiglione"</f>
        <v>Consorzio di bonifica Bacchiglione</v>
      </c>
      <c r="I887" t="str">
        <f>"92223390284"</f>
        <v>92223390284</v>
      </c>
      <c r="J887" t="str">
        <f>"23-AFFIDAMENTO DIRETTO"</f>
        <v>23-AFFIDAMENTO DIRETTO</v>
      </c>
      <c r="K887" t="str">
        <f>"15/03/2021"</f>
        <v>15/03/2021</v>
      </c>
      <c r="L887" t="str">
        <f>"31/12/2021"</f>
        <v>31/12/2021</v>
      </c>
      <c r="M887" t="str">
        <f>""</f>
        <v/>
      </c>
      <c r="N887" t="str">
        <f>"PROGETTI E SOLUZIONI S.p.A."</f>
        <v>PROGETTI E SOLUZIONI S.p.A.</v>
      </c>
      <c r="O887" t="str">
        <f>"PROGETTI E SOLUZIONI S.p.A."</f>
        <v>PROGETTI E SOLUZIONI S.p.A.</v>
      </c>
      <c r="P887" t="str">
        <f>"Z67190055E: [1500.00€ ]"</f>
        <v>Z67190055E: [1500.00€ ]</v>
      </c>
      <c r="Q887" t="str">
        <f>""</f>
        <v/>
      </c>
      <c r="R887" t="str">
        <f>""</f>
        <v/>
      </c>
      <c r="S887" t="str">
        <f>""</f>
        <v/>
      </c>
      <c r="T887" t="str">
        <f>"https://portaletrasparenza.consorziobacchiglione.it/dettagli/attodigara/232/affidamento-del-servizio-pa-pay-soluzione-incassi-per-gli-enti-pubblici-canale-atm-anno-2016.html"</f>
        <v>https://portaletrasparenza.consorziobacchiglione.it/dettagli/attodigara/232/affidamento-del-servizio-pa-pay-soluzione-incassi-per-gli-enti-pubblici-canale-atm-anno-2016.html</v>
      </c>
      <c r="U887" t="str">
        <f>""</f>
        <v/>
      </c>
      <c r="V8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88" spans="1:22" x14ac:dyDescent="0.3">
      <c r="A888" t="str">
        <f>"Affidamento"</f>
        <v>Affidamento</v>
      </c>
      <c r="B888" t="str">
        <f>"Tagliando completo del mezzo targato: FF284VN"</f>
        <v>Tagliando completo del mezzo targato: FF284VN</v>
      </c>
      <c r="C888" t="str">
        <f>"ZA431010AA"</f>
        <v>ZA431010AA</v>
      </c>
      <c r="D888" t="str">
        <f>"15/03/2021"</f>
        <v>15/03/2021</v>
      </c>
      <c r="E888" t="str">
        <f>""</f>
        <v/>
      </c>
      <c r="F888" t="str">
        <f>""</f>
        <v/>
      </c>
      <c r="G888" t="str">
        <f>"242.00"</f>
        <v>242.00</v>
      </c>
      <c r="H888" t="str">
        <f>"Consorzio di bonifica Bacchiglione"</f>
        <v>Consorzio di bonifica Bacchiglione</v>
      </c>
      <c r="I888" t="str">
        <f>"92223390284"</f>
        <v>92223390284</v>
      </c>
      <c r="J888" t="str">
        <f>"23-AFFIDAMENTO DIRETTO"</f>
        <v>23-AFFIDAMENTO DIRETTO</v>
      </c>
      <c r="K888" t="str">
        <f>"15/03/2021"</f>
        <v>15/03/2021</v>
      </c>
      <c r="L888" t="str">
        <f>"22/03/2021"</f>
        <v>22/03/2021</v>
      </c>
      <c r="M888" t="str">
        <f>""</f>
        <v/>
      </c>
      <c r="N888" t="str">
        <f>"Autofficina Gobbato Gianluca via Vivaldi 40A 35028 Piove di sacco PD"</f>
        <v>Autofficina Gobbato Gianluca via Vivaldi 40A 35028 Piove di sacco PD</v>
      </c>
      <c r="O888" t="str">
        <f>"Autofficina Gobbato Gianluca via Vivaldi 40A 35028 Piove di sacco PD"</f>
        <v>Autofficina Gobbato Gianluca via Vivaldi 40A 35028 Piove di sacco PD</v>
      </c>
      <c r="P888" t="str">
        <f>"ZA431010AA: [242.00€ ]"</f>
        <v>ZA431010AA: [242.00€ ]</v>
      </c>
      <c r="Q888" t="str">
        <f>""</f>
        <v/>
      </c>
      <c r="R888" t="str">
        <f>""</f>
        <v/>
      </c>
      <c r="S888" t="str">
        <f>""</f>
        <v/>
      </c>
      <c r="T888" t="str">
        <f>"https://portaletrasparenza.consorziobacchiglione.it/dettagli/attodigara/6701/tagliando-completo-del-mezzo-targato-ff284vn.html"</f>
        <v>https://portaletrasparenza.consorziobacchiglione.it/dettagli/attodigara/6701/tagliando-completo-del-mezzo-targato-ff284vn.html</v>
      </c>
      <c r="U888" t="str">
        <f>"https://portaletrasparenza.consorziobacchiglione.it/download/attodigara/6701/63ac456b3c170.PDF"</f>
        <v>https://portaletrasparenza.consorziobacchiglione.it/download/attodigara/6701/63ac456b3c170.PDF</v>
      </c>
      <c r="V88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89" spans="1:22" x14ac:dyDescent="0.3">
      <c r="A889" t="str">
        <f>"Affidamento"</f>
        <v>Affidamento</v>
      </c>
      <c r="B889" t="str">
        <f>"Tagliando completo del trattorino Ferris TTG2 più riparazione tagliasiepi Stihl presso C.O.S.Margherita"</f>
        <v>Tagliando completo del trattorino Ferris TTG2 più riparazione tagliasiepi Stihl presso C.O.S.Margherita</v>
      </c>
      <c r="C889" t="str">
        <f>"Z593100E19"</f>
        <v>Z593100E19</v>
      </c>
      <c r="D889" t="str">
        <f>"15/03/2021"</f>
        <v>15/03/2021</v>
      </c>
      <c r="E889" t="str">
        <f>""</f>
        <v/>
      </c>
      <c r="F889" t="str">
        <f>""</f>
        <v/>
      </c>
      <c r="G889" t="str">
        <f>"304.92"</f>
        <v>304.92</v>
      </c>
      <c r="H889" t="str">
        <f>"Consorzio di bonifica Bacchiglione"</f>
        <v>Consorzio di bonifica Bacchiglione</v>
      </c>
      <c r="I889" t="str">
        <f>"92223390284"</f>
        <v>92223390284</v>
      </c>
      <c r="J889" t="str">
        <f>"23-AFFIDAMENTO DIRETTO"</f>
        <v>23-AFFIDAMENTO DIRETTO</v>
      </c>
      <c r="K889" t="str">
        <f>"15/03/2021"</f>
        <v>15/03/2021</v>
      </c>
      <c r="L889" t="str">
        <f>"18/03/2021"</f>
        <v>18/03/2021</v>
      </c>
      <c r="M889" t="str">
        <f>""</f>
        <v/>
      </c>
      <c r="N889" t="str">
        <f>"Agrigarden di Furlan P. E Pedron A. s.n.c. via Mestrina 24 35030 Veggiano PD"</f>
        <v>Agrigarden di Furlan P. E Pedron A. s.n.c. via Mestrina 24 35030 Veggiano PD</v>
      </c>
      <c r="O889" t="str">
        <f>"Agrigarden di Furlan P. E Pedron A. s.n.c. via Mestrina 24 35030 Veggiano PD"</f>
        <v>Agrigarden di Furlan P. E Pedron A. s.n.c. via Mestrina 24 35030 Veggiano PD</v>
      </c>
      <c r="P889" t="str">
        <f>"Z593100E19: [304.92€ ]"</f>
        <v>Z593100E19: [304.92€ ]</v>
      </c>
      <c r="Q889" t="str">
        <f>""</f>
        <v/>
      </c>
      <c r="R889" t="str">
        <f>""</f>
        <v/>
      </c>
      <c r="S889" t="str">
        <f>""</f>
        <v/>
      </c>
      <c r="T889" t="str">
        <f>"https://portaletrasparenza.consorziobacchiglione.it/dettagli/attodigara/6700/tagliando-completo-del-trattorino-ferris-ttg2-piu-riparazione-tagliasiepi-stihl-presso-c-o-s-margherita.html"</f>
        <v>https://portaletrasparenza.consorziobacchiglione.it/dettagli/attodigara/6700/tagliando-completo-del-trattorino-ferris-ttg2-piu-riparazione-tagliasiepi-stihl-presso-c-o-s-margherita.html</v>
      </c>
      <c r="U889" t="str">
        <f>"https://portaletrasparenza.consorziobacchiglione.it/download/attodigara/6700/63ac456b03b69.PDF"</f>
        <v>https://portaletrasparenza.consorziobacchiglione.it/download/attodigara/6700/63ac456b03b69.PDF</v>
      </c>
      <c r="V8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90" spans="1:22" x14ac:dyDescent="0.3">
      <c r="A890" t="str">
        <f>"Affidamento"</f>
        <v>Affidamento</v>
      </c>
      <c r="B890" t="str">
        <f>"Affidamento servizio di personalizzazione del sistema di protocollo, modulo di repertorio."</f>
        <v>Affidamento servizio di personalizzazione del sistema di protocollo, modulo di repertorio.</v>
      </c>
      <c r="C890" t="str">
        <f>"Z7D197728B"</f>
        <v>Z7D197728B</v>
      </c>
      <c r="D890" t="str">
        <f>"04/11/2021"</f>
        <v>04/11/2021</v>
      </c>
      <c r="E890" t="str">
        <f>""</f>
        <v/>
      </c>
      <c r="F890" t="str">
        <f>""</f>
        <v/>
      </c>
      <c r="G890" t="str">
        <f>"1000.00"</f>
        <v>1000.00</v>
      </c>
      <c r="H890" t="str">
        <f>"Consorzio di bonifica Bacchiglione"</f>
        <v>Consorzio di bonifica Bacchiglione</v>
      </c>
      <c r="I890" t="str">
        <f>"92223390284"</f>
        <v>92223390284</v>
      </c>
      <c r="J890" t="str">
        <f>"23-AFFIDAMENTO DIRETTO"</f>
        <v>23-AFFIDAMENTO DIRETTO</v>
      </c>
      <c r="K890" t="str">
        <f>"15/04/2021"</f>
        <v>15/04/2021</v>
      </c>
      <c r="L890" t="str">
        <f>"23/05/2021"</f>
        <v>23/05/2021</v>
      </c>
      <c r="M890" t="str">
        <f>""</f>
        <v/>
      </c>
      <c r="N890" t="str">
        <f>"DATAGRAPH S.R.L."</f>
        <v>DATAGRAPH S.R.L.</v>
      </c>
      <c r="O890" t="str">
        <f>"DATAGRAPH S.R.L."</f>
        <v>DATAGRAPH S.R.L.</v>
      </c>
      <c r="P890" t="str">
        <f>"Z7D197728B: [1000.00€ ]"</f>
        <v>Z7D197728B: [1000.00€ ]</v>
      </c>
      <c r="Q890" t="str">
        <f>""</f>
        <v/>
      </c>
      <c r="R890" t="str">
        <f>""</f>
        <v/>
      </c>
      <c r="S890" t="str">
        <f>""</f>
        <v/>
      </c>
      <c r="T890" t="str">
        <f>"https://portaletrasparenza.consorziobacchiglione.it/dettagli/attodigara/328/affidamento-servizio-di-personalizzazione-del-sistema-di-protocollo-modulo-di-repertorio.html"</f>
        <v>https://portaletrasparenza.consorziobacchiglione.it/dettagli/attodigara/328/affidamento-servizio-di-personalizzazione-del-sistema-di-protocollo-modulo-di-repertorio.html</v>
      </c>
      <c r="U890" t="str">
        <f>""</f>
        <v/>
      </c>
      <c r="V8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91" spans="1:22" x14ac:dyDescent="0.3">
      <c r="A891" t="str">
        <f>"Affidamento"</f>
        <v>Affidamento</v>
      </c>
      <c r="B891" t="str">
        <f>"Fornitura n.1 fustone da 1000 litri di Urea per mezzi presso Bacino Sesta Presa"</f>
        <v>Fornitura n.1 fustone da 1000 litri di Urea per mezzi presso Bacino Sesta Presa</v>
      </c>
      <c r="C891" t="str">
        <f>"Z50315E5D4"</f>
        <v>Z50315E5D4</v>
      </c>
      <c r="D891" t="str">
        <f>"16/04/2021"</f>
        <v>16/04/2021</v>
      </c>
      <c r="E891" t="str">
        <f>""</f>
        <v/>
      </c>
      <c r="F891" t="str">
        <f>""</f>
        <v/>
      </c>
      <c r="G891" t="str">
        <f>"450.00"</f>
        <v>450.00</v>
      </c>
      <c r="H891" t="str">
        <f>"Consorzio di bonifica Bacchiglione"</f>
        <v>Consorzio di bonifica Bacchiglione</v>
      </c>
      <c r="I891" t="str">
        <f>"92223390284"</f>
        <v>92223390284</v>
      </c>
      <c r="J891" t="str">
        <f>"23-AFFIDAMENTO DIRETTO"</f>
        <v>23-AFFIDAMENTO DIRETTO</v>
      </c>
      <c r="K891" t="str">
        <f>"15/04/2021"</f>
        <v>15/04/2021</v>
      </c>
      <c r="L891" t="str">
        <f>"14/05/2021"</f>
        <v>14/05/2021</v>
      </c>
      <c r="M891" t="str">
        <f>""</f>
        <v/>
      </c>
      <c r="N891" t="str">
        <f>"Consorzio Agrario del Nordest Via Francia 2 37135 Verona"</f>
        <v>Consorzio Agrario del Nordest Via Francia 2 37135 Verona</v>
      </c>
      <c r="O891" t="str">
        <f>"Consorzio Agrario del Nordest Via Francia 2 37135 Verona"</f>
        <v>Consorzio Agrario del Nordest Via Francia 2 37135 Verona</v>
      </c>
      <c r="P891" t="str">
        <f>"Z50315E5D4: [450.00€ ]"</f>
        <v>Z50315E5D4: [450.00€ ]</v>
      </c>
      <c r="Q891" t="str">
        <f>""</f>
        <v/>
      </c>
      <c r="R891" t="str">
        <f>""</f>
        <v/>
      </c>
      <c r="S891" t="str">
        <f>""</f>
        <v/>
      </c>
      <c r="T891" t="str">
        <f>"https://portaletrasparenza.consorziobacchiglione.it/dettagli/attodigara/6809/fornitura-n-1-fustone-da-1000-litri-di-urea-per-mezzi-presso-bacino-sesta-presa.html"</f>
        <v>https://portaletrasparenza.consorziobacchiglione.it/dettagli/attodigara/6809/fornitura-n-1-fustone-da-1000-litri-di-urea-per-mezzi-presso-bacino-sesta-presa.html</v>
      </c>
      <c r="U891" t="str">
        <f>"https://portaletrasparenza.consorziobacchiglione.it/download/attodigara/6809/63ac458028b2c.PDF"</f>
        <v>https://portaletrasparenza.consorziobacchiglione.it/download/attodigara/6809/63ac458028b2c.PDF</v>
      </c>
      <c r="V8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92" spans="1:22" x14ac:dyDescent="0.3">
      <c r="A892" t="str">
        <f>"Affidamento"</f>
        <v>Affidamento</v>
      </c>
      <c r="B892" t="str">
        <f>"Realizzazione di apertura a libro, di due pedane e ulteriori lavorazioni su camion targato: DA564ZE"</f>
        <v>Realizzazione di apertura a libro, di due pedane e ulteriori lavorazioni su camion targato: DA564ZE</v>
      </c>
      <c r="C892" t="str">
        <f>"Z433160A86"</f>
        <v>Z433160A86</v>
      </c>
      <c r="D892" t="str">
        <f>"16/04/2021"</f>
        <v>16/04/2021</v>
      </c>
      <c r="E892" t="str">
        <f>""</f>
        <v/>
      </c>
      <c r="F892" t="str">
        <f>""</f>
        <v/>
      </c>
      <c r="G892" t="str">
        <f>"3347.00"</f>
        <v>3347.00</v>
      </c>
      <c r="H892" t="str">
        <f>"Consorzio di bonifica Bacchiglione"</f>
        <v>Consorzio di bonifica Bacchiglione</v>
      </c>
      <c r="I892" t="str">
        <f>"92223390284"</f>
        <v>92223390284</v>
      </c>
      <c r="J892" t="str">
        <f>"23-AFFIDAMENTO DIRETTO"</f>
        <v>23-AFFIDAMENTO DIRETTO</v>
      </c>
      <c r="K892" t="str">
        <f>"15/04/2021"</f>
        <v>15/04/2021</v>
      </c>
      <c r="L892" t="str">
        <f>"13/05/2021"</f>
        <v>13/05/2021</v>
      </c>
      <c r="M892" t="str">
        <f>""</f>
        <v/>
      </c>
      <c r="N892" t="str">
        <f>"Moressa s.r.l. Via Cuccara 2 35020 Due Carrare PD"</f>
        <v>Moressa s.r.l. Via Cuccara 2 35020 Due Carrare PD</v>
      </c>
      <c r="O892" t="str">
        <f>"Moressa s.r.l. Via Cuccara 2 35020 Due Carrare PD"</f>
        <v>Moressa s.r.l. Via Cuccara 2 35020 Due Carrare PD</v>
      </c>
      <c r="P892" t="str">
        <f>"Z433160A86: [3346.89€ ]"</f>
        <v>Z433160A86: [3346.89€ ]</v>
      </c>
      <c r="Q892" t="str">
        <f>""</f>
        <v/>
      </c>
      <c r="R892" t="str">
        <f>""</f>
        <v/>
      </c>
      <c r="S892" t="str">
        <f>""</f>
        <v/>
      </c>
      <c r="T892" t="str">
        <f>"https://portaletrasparenza.consorziobacchiglione.it/dettagli/attodigara/6810/realizzazione-di-apertura-a-libro-di-due-pedane-e-ulteriori-lavorazioni-su-camion-targato-da564ze.html"</f>
        <v>https://portaletrasparenza.consorziobacchiglione.it/dettagli/attodigara/6810/realizzazione-di-apertura-a-libro-di-due-pedane-e-ulteriori-lavorazioni-su-camion-targato-da564ze.html</v>
      </c>
      <c r="U892" t="str">
        <f>"https://portaletrasparenza.consorziobacchiglione.it/download/attodigara/6810/63ac4580612b8.PDF"</f>
        <v>https://portaletrasparenza.consorziobacchiglione.it/download/attodigara/6810/63ac4580612b8.PDF</v>
      </c>
      <c r="V892">
        <f>(SUBSTITUTE(Tabella1[[#This Row],[Importo di aggiudicazione]],".",","))-(SUBSTITUTE(  SUBSTITUTE(          SUBSTITUTE(Tabella1[[#This Row],[Dettaglio somme liquidate]],Tabella1[[#This Row],[CIG]]&amp;": [",""),"€ ]",""),".",","))</f>
        <v>0.11000000000012733</v>
      </c>
    </row>
    <row r="893" spans="1:22" x14ac:dyDescent="0.3">
      <c r="A893" t="str">
        <f>"Affidamento"</f>
        <v>Affidamento</v>
      </c>
      <c r="B893" t="str">
        <f>"Contratto triennale di manutenzione preventiva e predittiva (diagnosi), su inverter marchiati Schneider, servizio di reperibilità telefonica (linea diretta) 24/7 e di intervento in emergenza On-Site sugli Impianti del re"</f>
        <v>Contratto triennale di manutenzione preventiva e predittiva (diagnosi), su inverter marchiati Schneider, servizio di reperibilità telefonica (linea diretta) 24/7 e di intervento in emergenza On-Site sugli Impianti del re</v>
      </c>
      <c r="C893" t="str">
        <f>"Z10315DE62"</f>
        <v>Z10315DE62</v>
      </c>
      <c r="D893" t="str">
        <f>"16/04/2021"</f>
        <v>16/04/2021</v>
      </c>
      <c r="E893" t="str">
        <f>""</f>
        <v/>
      </c>
      <c r="F893" t="str">
        <f>""</f>
        <v/>
      </c>
      <c r="G893" t="str">
        <f>"23700.00"</f>
        <v>23700.00</v>
      </c>
      <c r="H893" t="str">
        <f>"Consorzio di bonifica Bacchiglione"</f>
        <v>Consorzio di bonifica Bacchiglione</v>
      </c>
      <c r="I893" t="str">
        <f>"92223390284"</f>
        <v>92223390284</v>
      </c>
      <c r="J893" t="str">
        <f>"23-AFFIDAMENTO DIRETTO"</f>
        <v>23-AFFIDAMENTO DIRETTO</v>
      </c>
      <c r="K893" t="str">
        <f>"15/04/2021"</f>
        <v>15/04/2021</v>
      </c>
      <c r="L893" t="str">
        <f>"20/12/2021"</f>
        <v>20/12/2021</v>
      </c>
      <c r="M893" t="str">
        <f>""</f>
        <v/>
      </c>
      <c r="N893" t="str">
        <f>"SCHNEIDER ELECTRIC S.P.A. Via Circonvallazione Est, 1 - 24040 Stezzano (BG)"</f>
        <v>SCHNEIDER ELECTRIC S.P.A. Via Circonvallazione Est, 1 - 24040 Stezzano (BG)</v>
      </c>
      <c r="O893" t="str">
        <f>"SCHNEIDER ELECTRIC S.P.A. Via Circonvallazione Est, 1 - 24040 Stezzano (BG)"</f>
        <v>SCHNEIDER ELECTRIC S.P.A. Via Circonvallazione Est, 1 - 24040 Stezzano (BG)</v>
      </c>
      <c r="P893" t="str">
        <f>"Z10315DE62: [19276.00€ ]"</f>
        <v>Z10315DE62: [19276.00€ ]</v>
      </c>
      <c r="Q893" t="str">
        <f>""</f>
        <v/>
      </c>
      <c r="R893" t="str">
        <f>""</f>
        <v/>
      </c>
      <c r="S893" t="str">
        <f>""</f>
        <v/>
      </c>
      <c r="T893" t="s">
        <v>106</v>
      </c>
      <c r="U893" t="str">
        <f>"https://portaletrasparenza.consorziobacchiglione.it/download/attodigara/6808/63ac457fe415c.PDF"</f>
        <v>https://portaletrasparenza.consorziobacchiglione.it/download/attodigara/6808/63ac457fe415c.PDF</v>
      </c>
      <c r="V893">
        <f>(SUBSTITUTE(Tabella1[[#This Row],[Importo di aggiudicazione]],".",","))-(SUBSTITUTE(  SUBSTITUTE(          SUBSTITUTE(Tabella1[[#This Row],[Dettaglio somme liquidate]],Tabella1[[#This Row],[CIG]]&amp;": [",""),"€ ]",""),".",","))</f>
        <v>4424</v>
      </c>
    </row>
    <row r="894" spans="1:22" x14ac:dyDescent="0.3">
      <c r="A894" t="str">
        <f>"Affidamento"</f>
        <v>Affidamento</v>
      </c>
      <c r="B894" t="str">
        <f>"Contratto triennale di manutenzione preventiva e predittiva (diagnosi), su inverter marchiati Schneider, servizio di reperibilità telefonica (linea diretta) 24/7 e di intervento in emergenza On-Site Contratto triennale d"</f>
        <v>Contratto triennale di manutenzione preventiva e predittiva (diagnosi), su inverter marchiati Schneider, servizio di reperibilità telefonica (linea diretta) 24/7 e di intervento in emergenza On-Site Contratto triennale d</v>
      </c>
      <c r="C894" t="str">
        <f>"Z15315DAD4"</f>
        <v>Z15315DAD4</v>
      </c>
      <c r="D894" t="str">
        <f>"16/04/2021"</f>
        <v>16/04/2021</v>
      </c>
      <c r="E894" t="str">
        <f>""</f>
        <v/>
      </c>
      <c r="F894" t="str">
        <f>""</f>
        <v/>
      </c>
      <c r="G894" t="str">
        <f>"30750.00"</f>
        <v>30750.00</v>
      </c>
      <c r="H894" t="str">
        <f>"Consorzio di bonifica Bacchiglione"</f>
        <v>Consorzio di bonifica Bacchiglione</v>
      </c>
      <c r="I894" t="str">
        <f>"92223390284"</f>
        <v>92223390284</v>
      </c>
      <c r="J894" t="str">
        <f>"23-AFFIDAMENTO DIRETTO"</f>
        <v>23-AFFIDAMENTO DIRETTO</v>
      </c>
      <c r="K894" t="str">
        <f>"15/04/2021"</f>
        <v>15/04/2021</v>
      </c>
      <c r="L894" t="str">
        <f>"21/12/2021"</f>
        <v>21/12/2021</v>
      </c>
      <c r="M894" t="str">
        <f>""</f>
        <v/>
      </c>
      <c r="N894" t="str">
        <f>"SCHNEIDER ELECTRIC S.P.A. Via Circonvallazione Est, 1 - 24040 Stezzano (BG)"</f>
        <v>SCHNEIDER ELECTRIC S.P.A. Via Circonvallazione Est, 1 - 24040 Stezzano (BG)</v>
      </c>
      <c r="O894" t="str">
        <f>"SCHNEIDER ELECTRIC S.P.A. Via Circonvallazione Est, 1 - 24040 Stezzano (BG)"</f>
        <v>SCHNEIDER ELECTRIC S.P.A. Via Circonvallazione Est, 1 - 24040 Stezzano (BG)</v>
      </c>
      <c r="P894" t="str">
        <f>"Z15315DAD4: [25010.00€ ]"</f>
        <v>Z15315DAD4: [25010.00€ ]</v>
      </c>
      <c r="Q894" t="str">
        <f>""</f>
        <v/>
      </c>
      <c r="R894" t="str">
        <f>""</f>
        <v/>
      </c>
      <c r="S894" t="str">
        <f>""</f>
        <v/>
      </c>
      <c r="T894" t="s">
        <v>107</v>
      </c>
      <c r="U894" t="str">
        <f>"https://portaletrasparenza.consorziobacchiglione.it/download/attodigara/6807/63ac457fde7d1.PDF"</f>
        <v>https://portaletrasparenza.consorziobacchiglione.it/download/attodigara/6807/63ac457fde7d1.PDF</v>
      </c>
      <c r="V894">
        <f>(SUBSTITUTE(Tabella1[[#This Row],[Importo di aggiudicazione]],".",","))-(SUBSTITUTE(  SUBSTITUTE(          SUBSTITUTE(Tabella1[[#This Row],[Dettaglio somme liquidate]],Tabella1[[#This Row],[CIG]]&amp;": [",""),"€ ]",""),".",","))</f>
        <v>5740</v>
      </c>
    </row>
    <row r="895" spans="1:22" x14ac:dyDescent="0.3">
      <c r="A895" t="str">
        <f>"Affidamento"</f>
        <v>Affidamento</v>
      </c>
      <c r="B895" t="str">
        <f>"Manutenzione e riparazione mezzo con targa: AFW043"</f>
        <v>Manutenzione e riparazione mezzo con targa: AFW043</v>
      </c>
      <c r="C895" t="str">
        <f>"Z891A4C1F7"</f>
        <v>Z891A4C1F7</v>
      </c>
      <c r="D895" t="str">
        <f>"04/11/2021"</f>
        <v>04/11/2021</v>
      </c>
      <c r="E895" t="str">
        <f>""</f>
        <v/>
      </c>
      <c r="F895" t="str">
        <f>""</f>
        <v/>
      </c>
      <c r="G895" t="str">
        <f>"136.60"</f>
        <v>136.60</v>
      </c>
      <c r="H895" t="str">
        <f>"Consorzio di bonifica Bacchiglione"</f>
        <v>Consorzio di bonifica Bacchiglione</v>
      </c>
      <c r="I895" t="str">
        <f>"92223390284"</f>
        <v>92223390284</v>
      </c>
      <c r="J895" t="str">
        <f>"23-AFFIDAMENTO DIRETTO"</f>
        <v>23-AFFIDAMENTO DIRETTO</v>
      </c>
      <c r="K895" t="str">
        <f>"15/06/2021"</f>
        <v>15/06/2021</v>
      </c>
      <c r="L895" t="str">
        <f>"10/08/2021"</f>
        <v>10/08/2021</v>
      </c>
      <c r="M895" t="str">
        <f>""</f>
        <v/>
      </c>
      <c r="N895" t="str">
        <f>"Autoriparazioni Ravazzolo s.r.l. Via Roma 259a 35030 Montemerlo di Cervarese Santa Croce PD"</f>
        <v>Autoriparazioni Ravazzolo s.r.l. Via Roma 259a 35030 Montemerlo di Cervarese Santa Croce PD</v>
      </c>
      <c r="O895" t="str">
        <f>"Autoriparazioni Ravazzolo s.r.l. Via Roma 259a 35030 Montemerlo di Cervarese Santa Croce PD"</f>
        <v>Autoriparazioni Ravazzolo s.r.l. Via Roma 259a 35030 Montemerlo di Cervarese Santa Croce PD</v>
      </c>
      <c r="P895" t="str">
        <f>"Z891A4C1F7: [136.60€ ]"</f>
        <v>Z891A4C1F7: [136.60€ ]</v>
      </c>
      <c r="Q895" t="str">
        <f>""</f>
        <v/>
      </c>
      <c r="R895" t="str">
        <f>""</f>
        <v/>
      </c>
      <c r="S895" t="str">
        <f>""</f>
        <v/>
      </c>
      <c r="T895" t="str">
        <f>"https://portaletrasparenza.consorziobacchiglione.it/dettagli/attodigara/524/manutenzione-e-riparazione-mezzo-con-targa-afw043.html"</f>
        <v>https://portaletrasparenza.consorziobacchiglione.it/dettagli/attodigara/524/manutenzione-e-riparazione-mezzo-con-targa-afw043.html</v>
      </c>
      <c r="U895" t="str">
        <f>""</f>
        <v/>
      </c>
      <c r="V89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96" spans="1:22" x14ac:dyDescent="0.3">
      <c r="A896" t="str">
        <f>"Affidamento"</f>
        <v>Affidamento</v>
      </c>
      <c r="B896" t="str">
        <f>"Revisione elettropompa N 2 Idrovora di Cambroso."</f>
        <v>Revisione elettropompa N 2 Idrovora di Cambroso.</v>
      </c>
      <c r="C896" t="str">
        <f>"ZAA1A4BC27"</f>
        <v>ZAA1A4BC27</v>
      </c>
      <c r="D896" t="str">
        <f>"04/11/2021"</f>
        <v>04/11/2021</v>
      </c>
      <c r="E896" t="str">
        <f>""</f>
        <v/>
      </c>
      <c r="F896" t="str">
        <f>""</f>
        <v/>
      </c>
      <c r="G896" t="str">
        <f>"7187.80"</f>
        <v>7187.80</v>
      </c>
      <c r="H896" t="str">
        <f>"Consorzio di bonifica Bacchiglione"</f>
        <v>Consorzio di bonifica Bacchiglione</v>
      </c>
      <c r="I896" t="str">
        <f>"92223390284"</f>
        <v>92223390284</v>
      </c>
      <c r="J896" t="str">
        <f>"23-AFFIDAMENTO DIRETTO"</f>
        <v>23-AFFIDAMENTO DIRETTO</v>
      </c>
      <c r="K896" t="str">
        <f>"15/06/2021"</f>
        <v>15/06/2021</v>
      </c>
      <c r="L896" t="str">
        <f>"05/10/2021"</f>
        <v>05/10/2021</v>
      </c>
      <c r="M896" t="str">
        <f>""</f>
        <v/>
      </c>
      <c r="N896" t="str">
        <f>"Xylem Water Solutions Italia S.r.l. Via Gioacchino Rossini 1A 20020 Lainate MI"</f>
        <v>Xylem Water Solutions Italia S.r.l. Via Gioacchino Rossini 1A 20020 Lainate MI</v>
      </c>
      <c r="O896" t="str">
        <f>"Xylem Water Solutions Italia S.r.l. Via Gioacchino Rossini 1A 20020 Lainate MI"</f>
        <v>Xylem Water Solutions Italia S.r.l. Via Gioacchino Rossini 1A 20020 Lainate MI</v>
      </c>
      <c r="P896" t="str">
        <f>"ZAA1A4BC27: [7187.79€ ]"</f>
        <v>ZAA1A4BC27: [7187.79€ ]</v>
      </c>
      <c r="Q896" t="str">
        <f>""</f>
        <v/>
      </c>
      <c r="R896" t="str">
        <f>""</f>
        <v/>
      </c>
      <c r="S896" t="str">
        <f>""</f>
        <v/>
      </c>
      <c r="T896" t="str">
        <f>"https://portaletrasparenza.consorziobacchiglione.it/dettagli/attodigara/523/revisione-elettropompa-n-2-idrovora-di-cambroso.html"</f>
        <v>https://portaletrasparenza.consorziobacchiglione.it/dettagli/attodigara/523/revisione-elettropompa-n-2-idrovora-di-cambroso.html</v>
      </c>
      <c r="U896" t="str">
        <f>""</f>
        <v/>
      </c>
      <c r="V896">
        <f>(SUBSTITUTE(Tabella1[[#This Row],[Importo di aggiudicazione]],".",","))-(SUBSTITUTE(  SUBSTITUTE(          SUBSTITUTE(Tabella1[[#This Row],[Dettaglio somme liquidate]],Tabella1[[#This Row],[CIG]]&amp;": [",""),"€ ]",""),".",","))</f>
        <v>1.0000000000218279E-2</v>
      </c>
    </row>
    <row r="897" spans="1:22" x14ac:dyDescent="0.3">
      <c r="A897" t="str">
        <f>"Affidamento"</f>
        <v>Affidamento</v>
      </c>
      <c r="B897" t="str">
        <f>"Fornitura materiale elettrico per Idrovora Vaso Cavaizze."</f>
        <v>Fornitura materiale elettrico per Idrovora Vaso Cavaizze.</v>
      </c>
      <c r="C897" t="str">
        <f>"ZF31AA84BA"</f>
        <v>ZF31AA84BA</v>
      </c>
      <c r="D897" t="str">
        <f>"04/11/2021"</f>
        <v>04/11/2021</v>
      </c>
      <c r="E897" t="str">
        <f>""</f>
        <v/>
      </c>
      <c r="F897" t="str">
        <f>""</f>
        <v/>
      </c>
      <c r="G897" t="str">
        <f>"3707.97"</f>
        <v>3707.97</v>
      </c>
      <c r="H897" t="str">
        <f>"Consorzio di bonifica Bacchiglione"</f>
        <v>Consorzio di bonifica Bacchiglione</v>
      </c>
      <c r="I897" t="str">
        <f>"92223390284"</f>
        <v>92223390284</v>
      </c>
      <c r="J897" t="str">
        <f>"23-AFFIDAMENTO DIRETTO"</f>
        <v>23-AFFIDAMENTO DIRETTO</v>
      </c>
      <c r="K897" t="str">
        <f>"15/07/2021"</f>
        <v>15/07/2021</v>
      </c>
      <c r="L897" t="str">
        <f>"10/08/2021"</f>
        <v>10/08/2021</v>
      </c>
      <c r="M897" t="str">
        <f>""</f>
        <v/>
      </c>
      <c r="N897" t="str">
        <f>"Sonepar Italia Nord S.p.A. Riviera Maestri del lavoro 24 35127 Padova"</f>
        <v>Sonepar Italia Nord S.p.A. Riviera Maestri del lavoro 24 35127 Padova</v>
      </c>
      <c r="O897" t="str">
        <f>"Sonepar Italia Nord S.p.A. Riviera Maestri del lavoro 24 35127 Padova"</f>
        <v>Sonepar Italia Nord S.p.A. Riviera Maestri del lavoro 24 35127 Padova</v>
      </c>
      <c r="P897" t="str">
        <f>"ZF31AA84BA: [3707.97€ ]"</f>
        <v>ZF31AA84BA: [3707.97€ ]</v>
      </c>
      <c r="Q897" t="str">
        <f>""</f>
        <v/>
      </c>
      <c r="R897" t="str">
        <f>""</f>
        <v/>
      </c>
      <c r="S897" t="str">
        <f>""</f>
        <v/>
      </c>
      <c r="T897" t="str">
        <f>"https://portaletrasparenza.consorziobacchiglione.it/dettagli/attodigara/595/fornitura-materiale-elettrico-per-idrovora-vaso-cavaizze.html"</f>
        <v>https://portaletrasparenza.consorziobacchiglione.it/dettagli/attodigara/595/fornitura-materiale-elettrico-per-idrovora-vaso-cavaizze.html</v>
      </c>
      <c r="U897" t="str">
        <f>""</f>
        <v/>
      </c>
      <c r="V8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98" spans="1:22" x14ac:dyDescent="0.3">
      <c r="A898" t="str">
        <f>"Affidamento"</f>
        <v>Affidamento</v>
      </c>
      <c r="B898" t="str">
        <f>"Fornitura n 1 fusto olio idraulico e n 1 fusto olio minerale per mezzi Consorziali."</f>
        <v>Fornitura n 1 fusto olio idraulico e n 1 fusto olio minerale per mezzi Consorziali.</v>
      </c>
      <c r="C898" t="str">
        <f>"Z3C1AA73C2"</f>
        <v>Z3C1AA73C2</v>
      </c>
      <c r="D898" t="str">
        <f>"04/11/2021"</f>
        <v>04/11/2021</v>
      </c>
      <c r="E898" t="str">
        <f>""</f>
        <v/>
      </c>
      <c r="F898" t="str">
        <f>""</f>
        <v/>
      </c>
      <c r="G898" t="str">
        <f>"992.12"</f>
        <v>992.12</v>
      </c>
      <c r="H898" t="str">
        <f>"Consorzio di bonifica Bacchiglione"</f>
        <v>Consorzio di bonifica Bacchiglione</v>
      </c>
      <c r="I898" t="str">
        <f>"92223390284"</f>
        <v>92223390284</v>
      </c>
      <c r="J898" t="str">
        <f>"23-AFFIDAMENTO DIRETTO"</f>
        <v>23-AFFIDAMENTO DIRETTO</v>
      </c>
      <c r="K898" t="str">
        <f>"15/07/2021"</f>
        <v>15/07/2021</v>
      </c>
      <c r="L898" t="str">
        <f>"06/09/2021"</f>
        <v>06/09/2021</v>
      </c>
      <c r="M898" t="str">
        <f>""</f>
        <v/>
      </c>
      <c r="N898" t="str">
        <f>"Dimel s.a.s. di Donado Luca e C. Via Unità d'Italia 12 35020 Brugine PD"</f>
        <v>Dimel s.a.s. di Donado Luca e C. Via Unità d'Italia 12 35020 Brugine PD</v>
      </c>
      <c r="O898" t="str">
        <f>"Dimel s.a.s. di Donado Luca e C. Via Unità d'Italia 12 35020 Brugine PD"</f>
        <v>Dimel s.a.s. di Donado Luca e C. Via Unità d'Italia 12 35020 Brugine PD</v>
      </c>
      <c r="P898" t="str">
        <f>"Z3C1AA73C2: [992.12€ ]"</f>
        <v>Z3C1AA73C2: [992.12€ ]</v>
      </c>
      <c r="Q898" t="str">
        <f>""</f>
        <v/>
      </c>
      <c r="R898" t="str">
        <f>""</f>
        <v/>
      </c>
      <c r="S898" t="str">
        <f>""</f>
        <v/>
      </c>
      <c r="T898" t="str">
        <f>"https://portaletrasparenza.consorziobacchiglione.it/dettagli/attodigara/594/fornitura-n-1-fusto-olio-idraulico-e-n-1-fusto-olio-minerale-per-mezzi-consorziali.html"</f>
        <v>https://portaletrasparenza.consorziobacchiglione.it/dettagli/attodigara/594/fornitura-n-1-fusto-olio-idraulico-e-n-1-fusto-olio-minerale-per-mezzi-consorziali.html</v>
      </c>
      <c r="U898" t="str">
        <f>""</f>
        <v/>
      </c>
      <c r="V8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899" spans="1:22" x14ac:dyDescent="0.3">
      <c r="A899" t="str">
        <f>"Affidamento"</f>
        <v>Affidamento</v>
      </c>
      <c r="B899" t="str">
        <f>"Fornitura materiale di ferramenta per C.O.S.Margherita."</f>
        <v>Fornitura materiale di ferramenta per C.O.S.Margherita.</v>
      </c>
      <c r="C899" t="str">
        <f>"Z2F1AA7041"</f>
        <v>Z2F1AA7041</v>
      </c>
      <c r="D899" t="str">
        <f>"04/11/2021"</f>
        <v>04/11/2021</v>
      </c>
      <c r="E899" t="str">
        <f>""</f>
        <v/>
      </c>
      <c r="F899" t="str">
        <f>""</f>
        <v/>
      </c>
      <c r="G899" t="str">
        <f>"117.93"</f>
        <v>117.93</v>
      </c>
      <c r="H899" t="str">
        <f>"Consorzio di bonifica Bacchiglione"</f>
        <v>Consorzio di bonifica Bacchiglione</v>
      </c>
      <c r="I899" t="str">
        <f>"92223390284"</f>
        <v>92223390284</v>
      </c>
      <c r="J899" t="str">
        <f>"23-AFFIDAMENTO DIRETTO"</f>
        <v>23-AFFIDAMENTO DIRETTO</v>
      </c>
      <c r="K899" t="str">
        <f>"15/07/2021"</f>
        <v>15/07/2021</v>
      </c>
      <c r="L899" t="str">
        <f>"10/08/2021"</f>
        <v>10/08/2021</v>
      </c>
      <c r="M899" t="str">
        <f>""</f>
        <v/>
      </c>
      <c r="N899" t="str">
        <f>"Idronord s.r.l. Via delle Industrie 3C 30036 Santa Maria Di Sala VE"</f>
        <v>Idronord s.r.l. Via delle Industrie 3C 30036 Santa Maria Di Sala VE</v>
      </c>
      <c r="O899" t="str">
        <f>"Idronord s.r.l. Via delle Industrie 3C 30036 Santa Maria Di Sala VE"</f>
        <v>Idronord s.r.l. Via delle Industrie 3C 30036 Santa Maria Di Sala VE</v>
      </c>
      <c r="P899" t="str">
        <f>"Z2F1AA7041: [117.93€ ]"</f>
        <v>Z2F1AA7041: [117.93€ ]</v>
      </c>
      <c r="Q899" t="str">
        <f>""</f>
        <v/>
      </c>
      <c r="R899" t="str">
        <f>""</f>
        <v/>
      </c>
      <c r="S899" t="str">
        <f>""</f>
        <v/>
      </c>
      <c r="T899" t="str">
        <f>"https://portaletrasparenza.consorziobacchiglione.it/dettagli/attodigara/593/fornitura-materiale-di-ferramenta-per-c-o-s-margherita.html"</f>
        <v>https://portaletrasparenza.consorziobacchiglione.it/dettagli/attodigara/593/fornitura-materiale-di-ferramenta-per-c-o-s-margherita.html</v>
      </c>
      <c r="U899" t="str">
        <f>""</f>
        <v/>
      </c>
      <c r="V8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00" spans="1:22" x14ac:dyDescent="0.3">
      <c r="A900" t="str">
        <f>"Affidamento"</f>
        <v>Affidamento</v>
      </c>
      <c r="B900" t="str">
        <f>"Riparazione e manutenzione mezzi con targa: PDAH521, AGK711, cingolato R900."</f>
        <v>Riparazione e manutenzione mezzi con targa: PDAH521, AGK711, cingolato R900.</v>
      </c>
      <c r="C900" t="str">
        <f>"ZEB1AA6EF6"</f>
        <v>ZEB1AA6EF6</v>
      </c>
      <c r="D900" t="str">
        <f>"04/11/2021"</f>
        <v>04/11/2021</v>
      </c>
      <c r="E900" t="str">
        <f>""</f>
        <v/>
      </c>
      <c r="F900" t="str">
        <f>""</f>
        <v/>
      </c>
      <c r="G900" t="str">
        <f>"3873.62"</f>
        <v>3873.62</v>
      </c>
      <c r="H900" t="str">
        <f>"Consorzio di bonifica Bacchiglione"</f>
        <v>Consorzio di bonifica Bacchiglione</v>
      </c>
      <c r="I900" t="str">
        <f>"92223390284"</f>
        <v>92223390284</v>
      </c>
      <c r="J900" t="str">
        <f>"23-AFFIDAMENTO DIRETTO"</f>
        <v>23-AFFIDAMENTO DIRETTO</v>
      </c>
      <c r="K900" t="str">
        <f>"15/07/2021"</f>
        <v>15/07/2021</v>
      </c>
      <c r="L900" t="str">
        <f>"05/10/2021"</f>
        <v>05/10/2021</v>
      </c>
      <c r="M900" t="str">
        <f>""</f>
        <v/>
      </c>
      <c r="N900" t="str">
        <f>"Adriatica Commerciale Macchine s.r.l. Via dell'Artigianato 5 35020 Due Carrare PD"</f>
        <v>Adriatica Commerciale Macchine s.r.l. Via dell'Artigianato 5 35020 Due Carrare PD</v>
      </c>
      <c r="O900" t="str">
        <f>"Adriatica Commerciale Macchine s.r.l. Via dell'Artigianato 5 35020 Due Carrare PD"</f>
        <v>Adriatica Commerciale Macchine s.r.l. Via dell'Artigianato 5 35020 Due Carrare PD</v>
      </c>
      <c r="P900" t="str">
        <f>"ZEB1AA6EF6: [3873.62€ ]"</f>
        <v>ZEB1AA6EF6: [3873.62€ ]</v>
      </c>
      <c r="Q900" t="str">
        <f>""</f>
        <v/>
      </c>
      <c r="R900" t="str">
        <f>""</f>
        <v/>
      </c>
      <c r="S900" t="str">
        <f>""</f>
        <v/>
      </c>
      <c r="T900" t="str">
        <f>"https://portaletrasparenza.consorziobacchiglione.it/dettagli/attodigara/592/riparazione-e-manutenzione-mezzi-con-targa-pdah521-agk711-cingolato-r900.html"</f>
        <v>https://portaletrasparenza.consorziobacchiglione.it/dettagli/attodigara/592/riparazione-e-manutenzione-mezzi-con-targa-pdah521-agk711-cingolato-r900.html</v>
      </c>
      <c r="U900" t="str">
        <f>""</f>
        <v/>
      </c>
      <c r="V9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01" spans="1:22" x14ac:dyDescent="0.3">
      <c r="A901" t="str">
        <f>"Affidamento"</f>
        <v>Affidamento</v>
      </c>
      <c r="B901" t="str">
        <f>"Fornitura e messa in esercizio di n. 2 misuratori di livello tipo FDU93 - Processo ID 006-03."</f>
        <v>Fornitura e messa in esercizio di n. 2 misuratori di livello tipo FDU93 - Processo ID 006-03.</v>
      </c>
      <c r="C901" t="str">
        <f>"ZB11AA77D7"</f>
        <v>ZB11AA77D7</v>
      </c>
      <c r="D901" t="str">
        <f>"04/11/2021"</f>
        <v>04/11/2021</v>
      </c>
      <c r="E901" t="str">
        <f>""</f>
        <v/>
      </c>
      <c r="F901" t="str">
        <f>""</f>
        <v/>
      </c>
      <c r="G901" t="str">
        <f>"2560.00"</f>
        <v>2560.00</v>
      </c>
      <c r="H901" t="str">
        <f>"Consorzio di bonifica Bacchiglione"</f>
        <v>Consorzio di bonifica Bacchiglione</v>
      </c>
      <c r="I901" t="str">
        <f>"92223390284"</f>
        <v>92223390284</v>
      </c>
      <c r="J901" t="str">
        <f>"23-AFFIDAMENTO DIRETTO"</f>
        <v>23-AFFIDAMENTO DIRETTO</v>
      </c>
      <c r="K901" t="str">
        <f>"15/07/2021"</f>
        <v>15/07/2021</v>
      </c>
      <c r="L901" t="str">
        <f>"29/08/2021"</f>
        <v>29/08/2021</v>
      </c>
      <c r="M901" t="str">
        <f>""</f>
        <v/>
      </c>
      <c r="N901" t="str">
        <f>"Endress + Hauser Italia S.p.A."</f>
        <v>Endress + Hauser Italia S.p.A.</v>
      </c>
      <c r="O901" t="str">
        <f>"Endress + Hauser Italia S.p.A."</f>
        <v>Endress + Hauser Italia S.p.A.</v>
      </c>
      <c r="P901" t="str">
        <f>"ZB11AA77D7: [2560.00€ ]"</f>
        <v>ZB11AA77D7: [2560.00€ ]</v>
      </c>
      <c r="Q901" t="str">
        <f>""</f>
        <v/>
      </c>
      <c r="R901" t="str">
        <f>""</f>
        <v/>
      </c>
      <c r="S901" t="str">
        <f>""</f>
        <v/>
      </c>
      <c r="T901" t="str">
        <f>"https://portaletrasparenza.consorziobacchiglione.it/dettagli/attodigara/591/fornitura-e-messa-in-esercizio-di-n-2-misuratori-di-livello-tipo-fdu93-processo-id-006-03.html"</f>
        <v>https://portaletrasparenza.consorziobacchiglione.it/dettagli/attodigara/591/fornitura-e-messa-in-esercizio-di-n-2-misuratori-di-livello-tipo-fdu93-processo-id-006-03.html</v>
      </c>
      <c r="U901" t="str">
        <f>""</f>
        <v/>
      </c>
      <c r="V90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02" spans="1:22" x14ac:dyDescent="0.3">
      <c r="A902" t="str">
        <f>"Affidamento"</f>
        <v>Affidamento</v>
      </c>
      <c r="B902" t="str">
        <f>"Fornitura decespugliatore per C.O.S.Margherita."</f>
        <v>Fornitura decespugliatore per C.O.S.Margherita.</v>
      </c>
      <c r="C902" t="str">
        <f>"Z651B2F991"</f>
        <v>Z651B2F991</v>
      </c>
      <c r="D902" t="str">
        <f>"04/11/2021"</f>
        <v>04/11/2021</v>
      </c>
      <c r="E902" t="str">
        <f>""</f>
        <v/>
      </c>
      <c r="F902" t="str">
        <f>""</f>
        <v/>
      </c>
      <c r="G902" t="str">
        <f>"442.62"</f>
        <v>442.62</v>
      </c>
      <c r="H902" t="str">
        <f>"Consorzio di bonifica Bacchiglione"</f>
        <v>Consorzio di bonifica Bacchiglione</v>
      </c>
      <c r="I902" t="str">
        <f>"92223390284"</f>
        <v>92223390284</v>
      </c>
      <c r="J902" t="str">
        <f>"23-AFFIDAMENTO DIRETTO"</f>
        <v>23-AFFIDAMENTO DIRETTO</v>
      </c>
      <c r="K902" t="str">
        <f>"15/09/2021"</f>
        <v>15/09/2021</v>
      </c>
      <c r="L902" t="str">
        <f>"27/10/2021"</f>
        <v>27/10/2021</v>
      </c>
      <c r="M902" t="str">
        <f>""</f>
        <v/>
      </c>
      <c r="N902" t="str">
        <f>"Mini Motor di Vettorato Gabriele Via Puccini 3 35020 Brugine PD | Frizzarin Marcello e C. s.n.c. Via Roma 1e 35020 Albignasego PD | Artusi Garden snc di Artusi Stefano E Vittorio Via Comunetto 24 30031 Dolo VE"</f>
        <v>Mini Motor di Vettorato Gabriele Via Puccini 3 35020 Brugine PD | Frizzarin Marcello e C. s.n.c. Via Roma 1e 35020 Albignasego PD | Artusi Garden snc di Artusi Stefano E Vittorio Via Comunetto 24 30031 Dolo VE</v>
      </c>
      <c r="O902" t="str">
        <f>"Artusi Garden snc di Artusi Stefano E Vittorio Via Comunetto 24 30031 Dolo VE"</f>
        <v>Artusi Garden snc di Artusi Stefano E Vittorio Via Comunetto 24 30031 Dolo VE</v>
      </c>
      <c r="P902" t="str">
        <f>"Z651B2F991: [442.62€ ]"</f>
        <v>Z651B2F991: [442.62€ ]</v>
      </c>
      <c r="Q902" t="str">
        <f>""</f>
        <v/>
      </c>
      <c r="R902" t="str">
        <f>""</f>
        <v/>
      </c>
      <c r="S902" t="str">
        <f>""</f>
        <v/>
      </c>
      <c r="T902" t="str">
        <f>"https://portaletrasparenza.consorziobacchiglione.it/dettagli/attodigara/742/fornitura-decespugliatore-per-c-o-s-margherita.html"</f>
        <v>https://portaletrasparenza.consorziobacchiglione.it/dettagli/attodigara/742/fornitura-decespugliatore-per-c-o-s-margherita.html</v>
      </c>
      <c r="U902" t="str">
        <f>""</f>
        <v/>
      </c>
      <c r="V9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03" spans="1:22" x14ac:dyDescent="0.3">
      <c r="A903" t="str">
        <f>"Affidamento"</f>
        <v>Affidamento</v>
      </c>
      <c r="B903" t="str">
        <f>"Manutenzione e riparazione mezzo con targa: CT189YR, AJR631, FF936PM, AHH573, motobarca n.7"</f>
        <v>Manutenzione e riparazione mezzo con targa: CT189YR, AJR631, FF936PM, AHH573, motobarca n.7</v>
      </c>
      <c r="C903" t="str">
        <f>"ZF6330CD43"</f>
        <v>ZF6330CD43</v>
      </c>
      <c r="D903" t="str">
        <f>"17/09/2021"</f>
        <v>17/09/2021</v>
      </c>
      <c r="E903" t="str">
        <f>""</f>
        <v/>
      </c>
      <c r="F903" t="str">
        <f>""</f>
        <v/>
      </c>
      <c r="G903" t="str">
        <f>"5060.93"</f>
        <v>5060.93</v>
      </c>
      <c r="H903" t="str">
        <f>"Consorzio di bonifica Bacchiglione"</f>
        <v>Consorzio di bonifica Bacchiglione</v>
      </c>
      <c r="I903" t="str">
        <f>"92223390284"</f>
        <v>92223390284</v>
      </c>
      <c r="J903" t="str">
        <f>"23-AFFIDAMENTO DIRETTO"</f>
        <v>23-AFFIDAMENTO DIRETTO</v>
      </c>
      <c r="K903" t="str">
        <f>"15/09/2021"</f>
        <v>15/09/2021</v>
      </c>
      <c r="L903" t="str">
        <f>"30/09/2021"</f>
        <v>30/09/2021</v>
      </c>
      <c r="M903" t="str">
        <f>""</f>
        <v/>
      </c>
      <c r="N903" t="str">
        <f>"Negrisolo Officina Meccanica s.a.s. V.le delle Industrie II° strada 13 35025 Cagnola di Cartura PD"</f>
        <v>Negrisolo Officina Meccanica s.a.s. V.le delle Industrie II° strada 13 35025 Cagnola di Cartura PD</v>
      </c>
      <c r="O903" t="str">
        <f>"Negrisolo Officina Meccanica s.a.s. V.le delle Industrie II° strada 13 35025 Cagnola di Cartura PD"</f>
        <v>Negrisolo Officina Meccanica s.a.s. V.le delle Industrie II° strada 13 35025 Cagnola di Cartura PD</v>
      </c>
      <c r="P903" t="s">
        <v>188</v>
      </c>
      <c r="Q903" t="str">
        <f>""</f>
        <v/>
      </c>
      <c r="R903" t="str">
        <f>""</f>
        <v/>
      </c>
      <c r="S903" t="str">
        <f>""</f>
        <v/>
      </c>
      <c r="T903" t="str">
        <f>"https://portaletrasparenza.consorziobacchiglione.it/dettagli/attodigara/7133/manutenzione-e-riparazione-mezzo-con-targa-ct189yr-ajr631-ff936pm-ahh573-motobarca-n-7.html"</f>
        <v>https://portaletrasparenza.consorziobacchiglione.it/dettagli/attodigara/7133/manutenzione-e-riparazione-mezzo-con-targa-ct189yr-ajr631-ff936pm-ahh573-motobarca-n-7.html</v>
      </c>
      <c r="U903" t="str">
        <f>"https://portaletrasparenza.consorziobacchiglione.it/download/attodigara/7133/63ac45c45fe38.PDF"</f>
        <v>https://portaletrasparenza.consorziobacchiglione.it/download/attodigara/7133/63ac45c45fe38.PDF</v>
      </c>
      <c r="V9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04" spans="1:22" x14ac:dyDescent="0.3">
      <c r="A904" t="str">
        <f>"Affidamento"</f>
        <v>Affidamento</v>
      </c>
      <c r="B904" t="str">
        <f>"Servizio assistenza e manutenzione anno 2021 per strumento di rilevazione topografica GPS manutenzione Hardware - Aggiornamento Software - Supporto telefonico Clienti - Piattaforma online learning"</f>
        <v>Servizio assistenza e manutenzione anno 2021 per strumento di rilevazione topografica GPS manutenzione Hardware - Aggiornamento Software - Supporto telefonico Clienti - Piattaforma online learning</v>
      </c>
      <c r="C904" t="str">
        <f>"ZA2337BAD7"</f>
        <v>ZA2337BAD7</v>
      </c>
      <c r="D904" t="str">
        <f>"19/10/2021"</f>
        <v>19/10/2021</v>
      </c>
      <c r="E904" t="str">
        <f>""</f>
        <v/>
      </c>
      <c r="F904" t="str">
        <f>""</f>
        <v/>
      </c>
      <c r="G904" t="str">
        <f>"573.60"</f>
        <v>573.60</v>
      </c>
      <c r="H904" t="str">
        <f>"Consorzio di bonifica Bacchiglione"</f>
        <v>Consorzio di bonifica Bacchiglione</v>
      </c>
      <c r="I904" t="str">
        <f>"92223390284"</f>
        <v>92223390284</v>
      </c>
      <c r="J904" t="str">
        <f>"23-AFFIDAMENTO DIRETTO"</f>
        <v>23-AFFIDAMENTO DIRETTO</v>
      </c>
      <c r="K904" t="str">
        <f>"15/10/2021"</f>
        <v>15/10/2021</v>
      </c>
      <c r="L904" t="str">
        <f>"18/10/2021"</f>
        <v>18/10/2021</v>
      </c>
      <c r="M904" t="str">
        <f>""</f>
        <v/>
      </c>
      <c r="N904" t="str">
        <f>"Leica Geosystems S.p.A. Via Codognino 12 26854 Cornegliano Laudense LO"</f>
        <v>Leica Geosystems S.p.A. Via Codognino 12 26854 Cornegliano Laudense LO</v>
      </c>
      <c r="O904" t="str">
        <f>"Leica Geosystems S.p.A. Via Codognino 12 26854 Cornegliano Laudense LO"</f>
        <v>Leica Geosystems S.p.A. Via Codognino 12 26854 Cornegliano Laudense LO</v>
      </c>
      <c r="P904" t="str">
        <f>"ZA2337BAD7: [573.60€ ]"</f>
        <v>ZA2337BAD7: [573.60€ ]</v>
      </c>
      <c r="Q904" t="str">
        <f>""</f>
        <v/>
      </c>
      <c r="R904" t="str">
        <f>""</f>
        <v/>
      </c>
      <c r="S904" t="str">
        <f>""</f>
        <v/>
      </c>
      <c r="T904" t="s">
        <v>77</v>
      </c>
      <c r="U904" t="str">
        <f>"https://portaletrasparenza.consorziobacchiglione.it/download/attodigara/7218/63ac45dbcf552.PDF"</f>
        <v>https://portaletrasparenza.consorziobacchiglione.it/download/attodigara/7218/63ac45dbcf552.PDF</v>
      </c>
      <c r="V9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05" spans="1:22" x14ac:dyDescent="0.3">
      <c r="A905" t="str">
        <f>"Affidamento"</f>
        <v>Affidamento</v>
      </c>
      <c r="B905" t="str">
        <f>"Ricorso davanti alla CTP di Padova proposto dalla soc. Sporting Center s.r.l. - affidamento incarico di rappresentanza e difesa legale del Consorzio al Prof. Avv. Mauro Beghin (delibera CDA n. 15/11 del 15/11/2016)"</f>
        <v>Ricorso davanti alla CTP di Padova proposto dalla soc. Sporting Center s.r.l. - affidamento incarico di rappresentanza e difesa legale del Consorzio al Prof. Avv. Mauro Beghin (delibera CDA n. 15/11 del 15/11/2016)</v>
      </c>
      <c r="C905" t="str">
        <f>"ZBA1C28A8D"</f>
        <v>ZBA1C28A8D</v>
      </c>
      <c r="D905" t="str">
        <f>"04/11/2021"</f>
        <v>04/11/2021</v>
      </c>
      <c r="E905" t="str">
        <f>""</f>
        <v/>
      </c>
      <c r="F905" t="str">
        <f>""</f>
        <v/>
      </c>
      <c r="G905" t="str">
        <f>"585.00"</f>
        <v>585.00</v>
      </c>
      <c r="H905" t="str">
        <f>"Consorzio di bonifica Bacchiglione"</f>
        <v>Consorzio di bonifica Bacchiglione</v>
      </c>
      <c r="I905" t="str">
        <f>"92223390284"</f>
        <v>92223390284</v>
      </c>
      <c r="J905" t="str">
        <f>"23-AFFIDAMENTO DIRETTO"</f>
        <v>23-AFFIDAMENTO DIRETTO</v>
      </c>
      <c r="K905" t="str">
        <f>"15/11/2021"</f>
        <v>15/11/2021</v>
      </c>
      <c r="L905" t="str">
        <f>"06/02/2021"</f>
        <v>06/02/2021</v>
      </c>
      <c r="M905" t="str">
        <f>""</f>
        <v/>
      </c>
      <c r="N905" t="str">
        <f>"MAURO BEGNIN"</f>
        <v>MAURO BEGNIN</v>
      </c>
      <c r="O905" t="str">
        <f>"MAURO BEGNIN"</f>
        <v>MAURO BEGNIN</v>
      </c>
      <c r="P905" t="s">
        <v>320</v>
      </c>
      <c r="Q905" t="str">
        <f>""</f>
        <v/>
      </c>
      <c r="R905" t="str">
        <f>""</f>
        <v/>
      </c>
      <c r="S905" t="str">
        <f>""</f>
        <v/>
      </c>
      <c r="T905" t="s">
        <v>60</v>
      </c>
      <c r="U905" t="str">
        <f>""</f>
        <v/>
      </c>
      <c r="V90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06" spans="1:22" x14ac:dyDescent="0.3">
      <c r="A906" t="str">
        <f>"Affidamento"</f>
        <v>Affidamento</v>
      </c>
      <c r="B906" t="str">
        <f>"Lavori per modificare parapetto e pedana di accesso paratoie per renderne sicuro l'utilizzo su scolo Moraro."</f>
        <v>Lavori per modificare parapetto e pedana di accesso paratoie per renderne sicuro l'utilizzo su scolo Moraro.</v>
      </c>
      <c r="C906" t="str">
        <f>"Z2F1C0644D"</f>
        <v>Z2F1C0644D</v>
      </c>
      <c r="D906" t="str">
        <f>"04/11/2021"</f>
        <v>04/11/2021</v>
      </c>
      <c r="E906" t="str">
        <f>""</f>
        <v/>
      </c>
      <c r="F906" t="str">
        <f>""</f>
        <v/>
      </c>
      <c r="G906" t="str">
        <f>"1250.00"</f>
        <v>1250.00</v>
      </c>
      <c r="H906" t="str">
        <f>"Consorzio di bonifica Bacchiglione"</f>
        <v>Consorzio di bonifica Bacchiglione</v>
      </c>
      <c r="I906" t="str">
        <f>"92223390284"</f>
        <v>92223390284</v>
      </c>
      <c r="J906" t="str">
        <f>"23-AFFIDAMENTO DIRETTO"</f>
        <v>23-AFFIDAMENTO DIRETTO</v>
      </c>
      <c r="K906" t="str">
        <f>"15/11/2021"</f>
        <v>15/11/2021</v>
      </c>
      <c r="L906" t="str">
        <f>"05/01/2021"</f>
        <v>05/01/2021</v>
      </c>
      <c r="M906" t="str">
        <f>""</f>
        <v/>
      </c>
      <c r="N906" t="str">
        <f>"ASM SRL Via Svezia 7 35127 Padova"</f>
        <v>ASM SRL Via Svezia 7 35127 Padova</v>
      </c>
      <c r="O906" t="str">
        <f>"ASM SRL Via Svezia 7 35127 Padova"</f>
        <v>ASM SRL Via Svezia 7 35127 Padova</v>
      </c>
      <c r="P906" t="str">
        <f>"Z2F1C0644D: [1250.00€ ]"</f>
        <v>Z2F1C0644D: [1250.00€ ]</v>
      </c>
      <c r="Q906" t="str">
        <f>""</f>
        <v/>
      </c>
      <c r="R906" t="str">
        <f>""</f>
        <v/>
      </c>
      <c r="S906" t="str">
        <f>""</f>
        <v/>
      </c>
      <c r="T906" t="str">
        <f>"https://portaletrasparenza.consorziobacchiglione.it/dettagli/attodigara/916/lavori-per-modificare-parapetto-e-pedana-di-accesso-paratoie-per-renderne-sicuro-l-utilizzo-su-scolo-moraro.html"</f>
        <v>https://portaletrasparenza.consorziobacchiglione.it/dettagli/attodigara/916/lavori-per-modificare-parapetto-e-pedana-di-accesso-paratoie-per-renderne-sicuro-l-utilizzo-su-scolo-moraro.html</v>
      </c>
      <c r="U906" t="str">
        <f>""</f>
        <v/>
      </c>
      <c r="V9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07" spans="1:22" x14ac:dyDescent="0.3">
      <c r="A907" t="str">
        <f>"Affidamento"</f>
        <v>Affidamento</v>
      </c>
      <c r="B907" t="str">
        <f>"Fornitura batterie per mezzi con targa: Motobarca n. 1-2-4 , CT189YR, Torre farro n. 1"</f>
        <v>Fornitura batterie per mezzi con targa: Motobarca n. 1-2-4 , CT189YR, Torre farro n. 1</v>
      </c>
      <c r="C907" t="str">
        <f>"Z741C05A77"</f>
        <v>Z741C05A77</v>
      </c>
      <c r="D907" t="str">
        <f>"04/11/2021"</f>
        <v>04/11/2021</v>
      </c>
      <c r="E907" t="str">
        <f>""</f>
        <v/>
      </c>
      <c r="F907" t="str">
        <f>""</f>
        <v/>
      </c>
      <c r="G907" t="str">
        <f>"1045.00"</f>
        <v>1045.00</v>
      </c>
      <c r="H907" t="str">
        <f>"Consorzio di bonifica Bacchiglione"</f>
        <v>Consorzio di bonifica Bacchiglione</v>
      </c>
      <c r="I907" t="str">
        <f>"92223390284"</f>
        <v>92223390284</v>
      </c>
      <c r="J907" t="str">
        <f>"23-AFFIDAMENTO DIRETTO"</f>
        <v>23-AFFIDAMENTO DIRETTO</v>
      </c>
      <c r="K907" t="str">
        <f>"15/11/2021"</f>
        <v>15/11/2021</v>
      </c>
      <c r="L907" t="str">
        <f>"27/12/2021"</f>
        <v>27/12/2021</v>
      </c>
      <c r="M907" t="str">
        <f>""</f>
        <v/>
      </c>
      <c r="N907" t="str">
        <f>"Vise Elettrocar Via Montagnon 61 35028 Tognana di Piove di Sacco PD"</f>
        <v>Vise Elettrocar Via Montagnon 61 35028 Tognana di Piove di Sacco PD</v>
      </c>
      <c r="O907" t="str">
        <f>"Vise Elettrocar Via Montagnon 61 35028 Tognana di Piove di Sacco PD"</f>
        <v>Vise Elettrocar Via Montagnon 61 35028 Tognana di Piove di Sacco PD</v>
      </c>
      <c r="P907" t="str">
        <f>"Z741C05A77: [1045.00€ ]"</f>
        <v>Z741C05A77: [1045.00€ ]</v>
      </c>
      <c r="Q907" t="str">
        <f>""</f>
        <v/>
      </c>
      <c r="R907" t="str">
        <f>""</f>
        <v/>
      </c>
      <c r="S907" t="str">
        <f>""</f>
        <v/>
      </c>
      <c r="T907" t="str">
        <f>"https://portaletrasparenza.consorziobacchiglione.it/dettagli/attodigara/914/fornitura-batterie-per-mezzi-con-targa-motobarca-n-1-2-4-ct189yr-torre-farro-n-1.html"</f>
        <v>https://portaletrasparenza.consorziobacchiglione.it/dettagli/attodigara/914/fornitura-batterie-per-mezzi-con-targa-motobarca-n-1-2-4-ct189yr-torre-farro-n-1.html</v>
      </c>
      <c r="U907" t="str">
        <f>""</f>
        <v/>
      </c>
      <c r="V90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08" spans="1:22" x14ac:dyDescent="0.3">
      <c r="A908" t="str">
        <f>"Affidamento"</f>
        <v>Affidamento</v>
      </c>
      <c r="B908" t="str">
        <f>"Manutenzione e riparazione mezzi con targa: EP107XC, DA203YW, DA205YW, CB934XY, PDB49361"</f>
        <v>Manutenzione e riparazione mezzi con targa: EP107XC, DA203YW, DA205YW, CB934XY, PDB49361</v>
      </c>
      <c r="C908" t="str">
        <f>"ZED1C05CAF"</f>
        <v>ZED1C05CAF</v>
      </c>
      <c r="D908" t="str">
        <f>"04/11/2021"</f>
        <v>04/11/2021</v>
      </c>
      <c r="E908" t="str">
        <f>""</f>
        <v/>
      </c>
      <c r="F908" t="str">
        <f>""</f>
        <v/>
      </c>
      <c r="G908" t="str">
        <f>"5283.63"</f>
        <v>5283.63</v>
      </c>
      <c r="H908" t="str">
        <f>"Consorzio di bonifica Bacchiglione"</f>
        <v>Consorzio di bonifica Bacchiglione</v>
      </c>
      <c r="I908" t="str">
        <f>"92223390284"</f>
        <v>92223390284</v>
      </c>
      <c r="J908" t="str">
        <f>"23-AFFIDAMENTO DIRETTO"</f>
        <v>23-AFFIDAMENTO DIRETTO</v>
      </c>
      <c r="K908" t="str">
        <f>"15/11/2021"</f>
        <v>15/11/2021</v>
      </c>
      <c r="L908" t="str">
        <f>"27/12/2021"</f>
        <v>27/12/2021</v>
      </c>
      <c r="M908" t="str">
        <f>""</f>
        <v/>
      </c>
      <c r="N908" t="str">
        <f>"Vise Elettrocar Via Montagnon 61 35028 Tognana di Piove di Sacco PD"</f>
        <v>Vise Elettrocar Via Montagnon 61 35028 Tognana di Piove di Sacco PD</v>
      </c>
      <c r="O908" t="str">
        <f>"Vise Elettrocar Via Montagnon 61 35028 Tognana di Piove di Sacco PD"</f>
        <v>Vise Elettrocar Via Montagnon 61 35028 Tognana di Piove di Sacco PD</v>
      </c>
      <c r="P908" t="str">
        <f>"ZED1C05CAF: [5283.00€ ]"</f>
        <v>ZED1C05CAF: [5283.00€ ]</v>
      </c>
      <c r="Q908" t="str">
        <f>""</f>
        <v/>
      </c>
      <c r="R908" t="str">
        <f>""</f>
        <v/>
      </c>
      <c r="S908" t="str">
        <f>""</f>
        <v/>
      </c>
      <c r="T908" t="str">
        <f>"https://portaletrasparenza.consorziobacchiglione.it/dettagli/attodigara/915/manutenzione-e-riparazione-mezzi-con-targa-ep107xc-da203yw-da205yw-cb934xy-pdb49361.html"</f>
        <v>https://portaletrasparenza.consorziobacchiglione.it/dettagli/attodigara/915/manutenzione-e-riparazione-mezzi-con-targa-ep107xc-da203yw-da205yw-cb934xy-pdb49361.html</v>
      </c>
      <c r="U908" t="str">
        <f>""</f>
        <v/>
      </c>
      <c r="V908">
        <f>(SUBSTITUTE(Tabella1[[#This Row],[Importo di aggiudicazione]],".",","))-(SUBSTITUTE(  SUBSTITUTE(          SUBSTITUTE(Tabella1[[#This Row],[Dettaglio somme liquidate]],Tabella1[[#This Row],[CIG]]&amp;": [",""),"€ ]",""),".",","))</f>
        <v>0.63000000000010914</v>
      </c>
    </row>
    <row r="909" spans="1:22" x14ac:dyDescent="0.3">
      <c r="A909" t="str">
        <f>"Affidamento"</f>
        <v>Affidamento</v>
      </c>
      <c r="B909" t="str">
        <f>"Sistemazione e sovralzo dei rilevati arginali del nodo di Montegrotto. Attività topografiche e catastali. - Processo ID 013-14."</f>
        <v>Sistemazione e sovralzo dei rilevati arginali del nodo di Montegrotto. Attività topografiche e catastali. - Processo ID 013-14.</v>
      </c>
      <c r="C909" t="str">
        <f>"Z121C04FBD"</f>
        <v>Z121C04FBD</v>
      </c>
      <c r="D909" t="str">
        <f>"04/11/2021"</f>
        <v>04/11/2021</v>
      </c>
      <c r="E909" t="str">
        <f>""</f>
        <v/>
      </c>
      <c r="F909" t="str">
        <f>""</f>
        <v/>
      </c>
      <c r="G909" t="str">
        <f>"1893.96"</f>
        <v>1893.96</v>
      </c>
      <c r="H909" t="str">
        <f>"Consorzio di bonifica Bacchiglione"</f>
        <v>Consorzio di bonifica Bacchiglione</v>
      </c>
      <c r="I909" t="str">
        <f>"92223390284"</f>
        <v>92223390284</v>
      </c>
      <c r="J909" t="str">
        <f>"23-AFFIDAMENTO DIRETTO"</f>
        <v>23-AFFIDAMENTO DIRETTO</v>
      </c>
      <c r="K909" t="str">
        <f>"15/11/2021"</f>
        <v>15/11/2021</v>
      </c>
      <c r="L909" t="str">
        <f>"02/01/2021"</f>
        <v>02/01/2021</v>
      </c>
      <c r="M909" t="str">
        <f>""</f>
        <v/>
      </c>
      <c r="N909" t="str">
        <f>"Studio Tecnico Associato Pizzeghello e Sanavia"</f>
        <v>Studio Tecnico Associato Pizzeghello e Sanavia</v>
      </c>
      <c r="O909" t="str">
        <f>"Studio Tecnico Associato Pizzeghello e Sanavia"</f>
        <v>Studio Tecnico Associato Pizzeghello e Sanavia</v>
      </c>
      <c r="P909" t="str">
        <f>"Z121C04FBD: [1890.00€ ]"</f>
        <v>Z121C04FBD: [1890.00€ ]</v>
      </c>
      <c r="Q909" t="str">
        <f>""</f>
        <v/>
      </c>
      <c r="R909" t="str">
        <f>""</f>
        <v/>
      </c>
      <c r="S909" t="str">
        <f>""</f>
        <v/>
      </c>
      <c r="T909" t="str">
        <f>"https://portaletrasparenza.consorziobacchiglione.it/dettagli/attodigara/913/sistemazione-e-sovralzo-dei-rilevati-arginali-del-nodo-di-montegrotto-attivita-topografiche-e-catastali-processo-id-013-14.html"</f>
        <v>https://portaletrasparenza.consorziobacchiglione.it/dettagli/attodigara/913/sistemazione-e-sovralzo-dei-rilevati-arginali-del-nodo-di-montegrotto-attivita-topografiche-e-catastali-processo-id-013-14.html</v>
      </c>
      <c r="U909" t="str">
        <f>""</f>
        <v/>
      </c>
      <c r="V909">
        <f>(SUBSTITUTE(Tabella1[[#This Row],[Importo di aggiudicazione]],".",","))-(SUBSTITUTE(  SUBSTITUTE(          SUBSTITUTE(Tabella1[[#This Row],[Dettaglio somme liquidate]],Tabella1[[#This Row],[CIG]]&amp;": [",""),"€ ]",""),".",","))</f>
        <v>3.9600000000000364</v>
      </c>
    </row>
    <row r="910" spans="1:22" x14ac:dyDescent="0.3">
      <c r="A910" t="str">
        <f>"Affidamento"</f>
        <v>Affidamento</v>
      </c>
      <c r="B910" t="str">
        <f>"Procedimento davati al T.A.R. Veneto avverso delibera di assemblea consorziale n. 02/07 del 23/06/2016 adesione Coldiretti - affidamento incarico rappresentanza e difesa legale del Consorzio all'Avv. Federico Pagetta"</f>
        <v>Procedimento davati al T.A.R. Veneto avverso delibera di assemblea consorziale n. 02/07 del 23/06/2016 adesione Coldiretti - affidamento incarico rappresentanza e difesa legale del Consorzio all'Avv. Federico Pagetta</v>
      </c>
      <c r="C910" t="str">
        <f>"ZAA1C28D1A"</f>
        <v>ZAA1C28D1A</v>
      </c>
      <c r="D910" t="str">
        <f>"04/11/2021"</f>
        <v>04/11/2021</v>
      </c>
      <c r="E910" t="str">
        <f>""</f>
        <v/>
      </c>
      <c r="F910" t="str">
        <f>""</f>
        <v/>
      </c>
      <c r="G910" t="str">
        <f>"5500.00"</f>
        <v>5500.00</v>
      </c>
      <c r="H910" t="str">
        <f>"Consorzio di bonifica Bacchiglione"</f>
        <v>Consorzio di bonifica Bacchiglione</v>
      </c>
      <c r="I910" t="str">
        <f>"92223390284"</f>
        <v>92223390284</v>
      </c>
      <c r="J910" t="str">
        <f>"23-AFFIDAMENTO DIRETTO"</f>
        <v>23-AFFIDAMENTO DIRETTO</v>
      </c>
      <c r="K910" t="str">
        <f>"15/11/2021"</f>
        <v>15/11/2021</v>
      </c>
      <c r="L910" t="str">
        <f>"31/12/2021"</f>
        <v>31/12/2021</v>
      </c>
      <c r="M910" t="str">
        <f>""</f>
        <v/>
      </c>
      <c r="N910" t="str">
        <f>"PAGETTA FEDERICO"</f>
        <v>PAGETTA FEDERICO</v>
      </c>
      <c r="O910" t="str">
        <f>"PAGETTA FEDERICO"</f>
        <v>PAGETTA FEDERICO</v>
      </c>
      <c r="P910" t="str">
        <f>"ZAA1C28D1A: [2392.00€ ]"</f>
        <v>ZAA1C28D1A: [2392.00€ ]</v>
      </c>
      <c r="Q910" t="str">
        <f>""</f>
        <v/>
      </c>
      <c r="R910" t="str">
        <f>""</f>
        <v/>
      </c>
      <c r="S910" t="str">
        <f>""</f>
        <v/>
      </c>
      <c r="T910" t="s">
        <v>59</v>
      </c>
      <c r="U910" t="str">
        <f>""</f>
        <v/>
      </c>
      <c r="V910">
        <f>(SUBSTITUTE(Tabella1[[#This Row],[Importo di aggiudicazione]],".",","))-(SUBSTITUTE(  SUBSTITUTE(          SUBSTITUTE(Tabella1[[#This Row],[Dettaglio somme liquidate]],Tabella1[[#This Row],[CIG]]&amp;": [",""),"€ ]",""),".",","))</f>
        <v>3108</v>
      </c>
    </row>
    <row r="911" spans="1:22" x14ac:dyDescent="0.3">
      <c r="A911" t="str">
        <f>"Affidamento"</f>
        <v>Affidamento</v>
      </c>
      <c r="B911" t="str">
        <f>"Esecuzione diaframmatura di un tratto dell'argine destro dello scolo Altipiano (Via Adige - Comune di Codevigo) - Processo ID 018-20."</f>
        <v>Esecuzione diaframmatura di un tratto dell'argine destro dello scolo Altipiano (Via Adige - Comune di Codevigo) - Processo ID 018-20.</v>
      </c>
      <c r="C911" t="str">
        <f>"89896795CA"</f>
        <v>89896795CA</v>
      </c>
      <c r="D911" t="str">
        <f>"02/12/2021"</f>
        <v>02/12/2021</v>
      </c>
      <c r="E911" t="str">
        <f>""</f>
        <v/>
      </c>
      <c r="F911" t="str">
        <f>""</f>
        <v/>
      </c>
      <c r="G911" t="str">
        <f>"138601.62"</f>
        <v>138601.62</v>
      </c>
      <c r="H911" t="str">
        <f>"Consorzio di bonifica Bacchiglione"</f>
        <v>Consorzio di bonifica Bacchiglione</v>
      </c>
      <c r="I911" t="str">
        <f>"92223390284"</f>
        <v>92223390284</v>
      </c>
      <c r="J911" t="str">
        <f>"23-AFFIDAMENTO DIRETTO"</f>
        <v>23-AFFIDAMENTO DIRETTO</v>
      </c>
      <c r="K911" t="str">
        <f>"15/11/2021"</f>
        <v>15/11/2021</v>
      </c>
      <c r="L911" t="str">
        <f>"10/03/2022"</f>
        <v>10/03/2022</v>
      </c>
      <c r="M911" t="str">
        <f>""</f>
        <v/>
      </c>
      <c r="N911" t="str">
        <f>"Martini Scavi di Martini Massimo s.r.l. | Vendrame Pasqualino E C. S.r.l. | Cavallarin Diego S.r.l."</f>
        <v>Martini Scavi di Martini Massimo s.r.l. | Vendrame Pasqualino E C. S.r.l. | Cavallarin Diego S.r.l.</v>
      </c>
      <c r="O911" t="str">
        <f>"Martini Scavi di Martini Massimo s.r.l."</f>
        <v>Martini Scavi di Martini Massimo s.r.l.</v>
      </c>
      <c r="P911" t="str">
        <f>"89896795CA: [138489.28€ ]"</f>
        <v>89896795CA: [138489.28€ ]</v>
      </c>
      <c r="Q911" t="str">
        <f>""</f>
        <v/>
      </c>
      <c r="R911" t="str">
        <f>""</f>
        <v/>
      </c>
      <c r="S911" t="str">
        <f>""</f>
        <v/>
      </c>
      <c r="T911" t="str">
        <f>"https://portaletrasparenza.consorziobacchiglione.it/dettagli/attodigara/7281/esecuzione-diaframmatura-di-un-tratto-dell-argine-destro-dello-scolo-altipiano-via-adige-comune-di-codevigo-processo-id-018-20.html"</f>
        <v>https://portaletrasparenza.consorziobacchiglione.it/dettagli/attodigara/7281/esecuzione-diaframmatura-di-un-tratto-dell-argine-destro-dello-scolo-altipiano-via-adige-comune-di-codevigo-processo-id-018-20.html</v>
      </c>
      <c r="U911" t="str">
        <f>"https://portaletrasparenza.consorziobacchiglione.it/download/attodigara/7281/63ac45f2de466.PDF"</f>
        <v>https://portaletrasparenza.consorziobacchiglione.it/download/attodigara/7281/63ac45f2de466.PDF</v>
      </c>
      <c r="V911">
        <f>(SUBSTITUTE(Tabella1[[#This Row],[Importo di aggiudicazione]],".",","))-(SUBSTITUTE(  SUBSTITUTE(          SUBSTITUTE(Tabella1[[#This Row],[Dettaglio somme liquidate]],Tabella1[[#This Row],[CIG]]&amp;": [",""),"€ ]",""),".",","))</f>
        <v>112.33999999999651</v>
      </c>
    </row>
    <row r="912" spans="1:22" x14ac:dyDescent="0.3">
      <c r="A912" t="str">
        <f>"Affidamento"</f>
        <v>Affidamento</v>
      </c>
      <c r="B912" t="str">
        <f>"Servizio Control Room in Cloud per sistema di telecontrollo presso vari Impianti"</f>
        <v>Servizio Control Room in Cloud per sistema di telecontrollo presso vari Impianti</v>
      </c>
      <c r="C912" t="str">
        <f>"Z5733E8D6E"</f>
        <v>Z5733E8D6E</v>
      </c>
      <c r="D912" t="str">
        <f>"18/11/2021"</f>
        <v>18/11/2021</v>
      </c>
      <c r="E912" t="str">
        <f>""</f>
        <v/>
      </c>
      <c r="F912" t="str">
        <f>""</f>
        <v/>
      </c>
      <c r="G912" t="str">
        <f>"3156.00"</f>
        <v>3156.00</v>
      </c>
      <c r="H912" t="str">
        <f>"Consorzio di bonifica Bacchiglione"</f>
        <v>Consorzio di bonifica Bacchiglione</v>
      </c>
      <c r="I912" t="str">
        <f>"92223390284"</f>
        <v>92223390284</v>
      </c>
      <c r="J912" t="str">
        <f>"23-AFFIDAMENTO DIRETTO"</f>
        <v>23-AFFIDAMENTO DIRETTO</v>
      </c>
      <c r="K912" t="str">
        <f>"15/11/2021"</f>
        <v>15/11/2021</v>
      </c>
      <c r="L912" t="str">
        <f>"23/11/2021"</f>
        <v>23/11/2021</v>
      </c>
      <c r="M912" t="str">
        <f>""</f>
        <v/>
      </c>
      <c r="N912" t="str">
        <f>"Omnicon Srl Via Petrarca 14a 20843 Verano Brianza MB"</f>
        <v>Omnicon Srl Via Petrarca 14a 20843 Verano Brianza MB</v>
      </c>
      <c r="O912" t="str">
        <f>"Omnicon Srl Via Petrarca 14a 20843 Verano Brianza MB"</f>
        <v>Omnicon Srl Via Petrarca 14a 20843 Verano Brianza MB</v>
      </c>
      <c r="P912" t="s">
        <v>202</v>
      </c>
      <c r="Q912" t="str">
        <f>""</f>
        <v/>
      </c>
      <c r="R912" t="str">
        <f>""</f>
        <v/>
      </c>
      <c r="S912" t="str">
        <f>""</f>
        <v/>
      </c>
      <c r="T912" t="str">
        <f>"https://portaletrasparenza.consorziobacchiglione.it/dettagli/attodigara/7286/servizio-control-room-in-cloud-per-sistema-di-telecontrollo-presso-vari-impianti.html"</f>
        <v>https://portaletrasparenza.consorziobacchiglione.it/dettagli/attodigara/7286/servizio-control-room-in-cloud-per-sistema-di-telecontrollo-presso-vari-impianti.html</v>
      </c>
      <c r="U912" t="str">
        <f>"https://portaletrasparenza.consorziobacchiglione.it/download/attodigara/7286/63ac45ead7429.PDF"</f>
        <v>https://portaletrasparenza.consorziobacchiglione.it/download/attodigara/7286/63ac45ead7429.PDF</v>
      </c>
      <c r="V9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13" spans="1:22" x14ac:dyDescent="0.3">
      <c r="A913" t="str">
        <f>"Affidamento"</f>
        <v>Affidamento</v>
      </c>
      <c r="B913" t="str">
        <f>"Manutenzione braccio decespugliatore su mezzo targato: AKS633"</f>
        <v>Manutenzione braccio decespugliatore su mezzo targato: AKS633</v>
      </c>
      <c r="C913" t="str">
        <f>"ZCB33E6133"</f>
        <v>ZCB33E6133</v>
      </c>
      <c r="D913" t="str">
        <f>"18/11/2021"</f>
        <v>18/11/2021</v>
      </c>
      <c r="E913" t="str">
        <f>""</f>
        <v/>
      </c>
      <c r="F913" t="str">
        <f>""</f>
        <v/>
      </c>
      <c r="G913" t="str">
        <f>"1388.03"</f>
        <v>1388.03</v>
      </c>
      <c r="H913" t="str">
        <f>"Consorzio di bonifica Bacchiglione"</f>
        <v>Consorzio di bonifica Bacchiglione</v>
      </c>
      <c r="I913" t="str">
        <f>"92223390284"</f>
        <v>92223390284</v>
      </c>
      <c r="J913" t="str">
        <f>"23-AFFIDAMENTO DIRETTO"</f>
        <v>23-AFFIDAMENTO DIRETTO</v>
      </c>
      <c r="K913" t="str">
        <f>"15/11/2021"</f>
        <v>15/11/2021</v>
      </c>
      <c r="L913" t="str">
        <f>"28/12/2021"</f>
        <v>28/12/2021</v>
      </c>
      <c r="M913" t="str">
        <f>""</f>
        <v/>
      </c>
      <c r="N913" t="str">
        <f>"Gaiani Rino SAS di Gaiani Annalisa E C.Via Antoniana 102 35011 Campodarsego PD"</f>
        <v>Gaiani Rino SAS di Gaiani Annalisa E C.Via Antoniana 102 35011 Campodarsego PD</v>
      </c>
      <c r="O913" t="str">
        <f>"Gaiani Rino SAS di Gaiani Annalisa E C.Via Antoniana 102 35011 Campodarsego PD"</f>
        <v>Gaiani Rino SAS di Gaiani Annalisa E C.Via Antoniana 102 35011 Campodarsego PD</v>
      </c>
      <c r="P913" t="s">
        <v>233</v>
      </c>
      <c r="Q913" t="str">
        <f>""</f>
        <v/>
      </c>
      <c r="R913" t="str">
        <f>""</f>
        <v/>
      </c>
      <c r="S913" t="str">
        <f>""</f>
        <v/>
      </c>
      <c r="T913" t="str">
        <f>"https://portaletrasparenza.consorziobacchiglione.it/dettagli/attodigara/7283/manutenzione-braccio-decespugliatore-su-mezzo-targato-aks633.html"</f>
        <v>https://portaletrasparenza.consorziobacchiglione.it/dettagli/attodigara/7283/manutenzione-braccio-decespugliatore-su-mezzo-targato-aks633.html</v>
      </c>
      <c r="U913" t="str">
        <f>"https://portaletrasparenza.consorziobacchiglione.it/download/attodigara/7283/63ac45ea652df.PDF"</f>
        <v>https://portaletrasparenza.consorziobacchiglione.it/download/attodigara/7283/63ac45ea652df.PDF</v>
      </c>
      <c r="V9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14" spans="1:22" x14ac:dyDescent="0.3">
      <c r="A914" t="str">
        <f>"Affidamento"</f>
        <v>Affidamento</v>
      </c>
      <c r="B914" t="str">
        <f>"Manutenzione n.2 trincie laterali Seppi dei mezzi targati: AKS681, AKS633"</f>
        <v>Manutenzione n.2 trincie laterali Seppi dei mezzi targati: AKS681, AKS633</v>
      </c>
      <c r="C914" t="str">
        <f>"Z4E33E756F"</f>
        <v>Z4E33E756F</v>
      </c>
      <c r="D914" t="str">
        <f>"18/11/2021"</f>
        <v>18/11/2021</v>
      </c>
      <c r="E914" t="str">
        <f>""</f>
        <v/>
      </c>
      <c r="F914" t="str">
        <f>""</f>
        <v/>
      </c>
      <c r="G914" t="str">
        <f>"4138.95"</f>
        <v>4138.95</v>
      </c>
      <c r="H914" t="str">
        <f>"Consorzio di bonifica Bacchiglione"</f>
        <v>Consorzio di bonifica Bacchiglione</v>
      </c>
      <c r="I914" t="str">
        <f>"92223390284"</f>
        <v>92223390284</v>
      </c>
      <c r="J914" t="str">
        <f>"23-AFFIDAMENTO DIRETTO"</f>
        <v>23-AFFIDAMENTO DIRETTO</v>
      </c>
      <c r="K914" t="str">
        <f>"15/11/2021"</f>
        <v>15/11/2021</v>
      </c>
      <c r="L914" t="str">
        <f>"23/11/2021"</f>
        <v>23/11/2021</v>
      </c>
      <c r="M914" t="str">
        <f>""</f>
        <v/>
      </c>
      <c r="N914" t="str">
        <f>"Gaiani Rino SAS di Gaiani Annalisa E C.Via Antoniana 102 35011 Campodarsego PD"</f>
        <v>Gaiani Rino SAS di Gaiani Annalisa E C.Via Antoniana 102 35011 Campodarsego PD</v>
      </c>
      <c r="O914" t="str">
        <f>"Gaiani Rino SAS di Gaiani Annalisa E C.Via Antoniana 102 35011 Campodarsego PD"</f>
        <v>Gaiani Rino SAS di Gaiani Annalisa E C.Via Antoniana 102 35011 Campodarsego PD</v>
      </c>
      <c r="P914" t="str">
        <f>"Z4E33E756F: [4138.95€ ]"</f>
        <v>Z4E33E756F: [4138.95€ ]</v>
      </c>
      <c r="Q914" t="str">
        <f>""</f>
        <v/>
      </c>
      <c r="R914" t="str">
        <f>""</f>
        <v/>
      </c>
      <c r="S914" t="str">
        <f>""</f>
        <v/>
      </c>
      <c r="T914" t="str">
        <f>"https://portaletrasparenza.consorziobacchiglione.it/dettagli/attodigara/7284/manutenzione-n-2-trincie-laterali-seppi-dei-mezzi-targati-aks681-aks633.html"</f>
        <v>https://portaletrasparenza.consorziobacchiglione.it/dettagli/attodigara/7284/manutenzione-n-2-trincie-laterali-seppi-dei-mezzi-targati-aks681-aks633.html</v>
      </c>
      <c r="U914" t="str">
        <f>"https://portaletrasparenza.consorziobacchiglione.it/download/attodigara/7284/63ac45ea9e547.PDF"</f>
        <v>https://portaletrasparenza.consorziobacchiglione.it/download/attodigara/7284/63ac45ea9e547.PDF</v>
      </c>
      <c r="V91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15" spans="1:22" x14ac:dyDescent="0.3">
      <c r="A915" t="str">
        <f>"Affidamento"</f>
        <v>Affidamento</v>
      </c>
      <c r="B915" t="str">
        <f>"Sostituzione n.2 cerchi in dotazione al mezzo con n.2 cerchi rinforzati per garantire una migliore stabilità su mezzo targato: AKS681"</f>
        <v>Sostituzione n.2 cerchi in dotazione al mezzo con n.2 cerchi rinforzati per garantire una migliore stabilità su mezzo targato: AKS681</v>
      </c>
      <c r="C915" t="str">
        <f>"Z9433E5D29"</f>
        <v>Z9433E5D29</v>
      </c>
      <c r="D915" t="str">
        <f>"18/11/2021"</f>
        <v>18/11/2021</v>
      </c>
      <c r="E915" t="str">
        <f>""</f>
        <v/>
      </c>
      <c r="F915" t="str">
        <f>""</f>
        <v/>
      </c>
      <c r="G915" t="str">
        <f>"969.75"</f>
        <v>969.75</v>
      </c>
      <c r="H915" t="str">
        <f>"Consorzio di bonifica Bacchiglione"</f>
        <v>Consorzio di bonifica Bacchiglione</v>
      </c>
      <c r="I915" t="str">
        <f>"92223390284"</f>
        <v>92223390284</v>
      </c>
      <c r="J915" t="str">
        <f>"23-AFFIDAMENTO DIRETTO"</f>
        <v>23-AFFIDAMENTO DIRETTO</v>
      </c>
      <c r="K915" t="str">
        <f>"15/11/2021"</f>
        <v>15/11/2021</v>
      </c>
      <c r="L915" t="str">
        <f>"30/11/2021"</f>
        <v>30/11/2021</v>
      </c>
      <c r="M915" t="str">
        <f>""</f>
        <v/>
      </c>
      <c r="N915" t="str">
        <f>"Ri.gom.ma S.R.L. Via Orlando, 47 - 30173 Campalto (VE)"</f>
        <v>Ri.gom.ma S.R.L. Via Orlando, 47 - 30173 Campalto (VE)</v>
      </c>
      <c r="O915" t="str">
        <f>"Ri.gom.ma S.R.L. Via Orlando, 47 - 30173 Campalto (VE)"</f>
        <v>Ri.gom.ma S.R.L. Via Orlando, 47 - 30173 Campalto (VE)</v>
      </c>
      <c r="P915" t="str">
        <f>"Z9433E5D29: [969.74€ ]"</f>
        <v>Z9433E5D29: [969.74€ ]</v>
      </c>
      <c r="Q915" t="str">
        <f>""</f>
        <v/>
      </c>
      <c r="R915" t="str">
        <f>""</f>
        <v/>
      </c>
      <c r="S915" t="str">
        <f>""</f>
        <v/>
      </c>
      <c r="T915" t="str">
        <f>"https://portaletrasparenza.consorziobacchiglione.it/dettagli/attodigara/7282/sostituzione-n-2-cerchi-in-dotazione-al-mezzo-con-n-2-cerchi-rinforzati-per-garantire-una-migliore-stabilita-su-mezzo-targato-aks681.html"</f>
        <v>https://portaletrasparenza.consorziobacchiglione.it/dettagli/attodigara/7282/sostituzione-n-2-cerchi-in-dotazione-al-mezzo-con-n-2-cerchi-rinforzati-per-garantire-una-migliore-stabilita-su-mezzo-targato-aks681.html</v>
      </c>
      <c r="U915" t="str">
        <f>"https://portaletrasparenza.consorziobacchiglione.it/download/attodigara/7282/63ac45ea2c142.PDF"</f>
        <v>https://portaletrasparenza.consorziobacchiglione.it/download/attodigara/7282/63ac45ea2c142.PDF</v>
      </c>
      <c r="V915">
        <f>(SUBSTITUTE(Tabella1[[#This Row],[Importo di aggiudicazione]],".",","))-(SUBSTITUTE(  SUBSTITUTE(          SUBSTITUTE(Tabella1[[#This Row],[Dettaglio somme liquidate]],Tabella1[[#This Row],[CIG]]&amp;": [",""),"€ ]",""),".",","))</f>
        <v>9.9999999999909051E-3</v>
      </c>
    </row>
    <row r="916" spans="1:22" x14ac:dyDescent="0.3">
      <c r="A916" t="str">
        <f>"Affidamento"</f>
        <v>Affidamento</v>
      </c>
      <c r="B916" t="str">
        <f>"Fornitura MC 3,50 di calcestruzzo RCK 300 S4 per lavori presso scolo Sedici"</f>
        <v>Fornitura MC 3,50 di calcestruzzo RCK 300 S4 per lavori presso scolo Sedici</v>
      </c>
      <c r="C916" t="str">
        <f>"Z8533E7E60"</f>
        <v>Z8533E7E60</v>
      </c>
      <c r="D916" t="str">
        <f>"18/11/2021"</f>
        <v>18/11/2021</v>
      </c>
      <c r="E916" t="str">
        <f>""</f>
        <v/>
      </c>
      <c r="F916" t="str">
        <f>""</f>
        <v/>
      </c>
      <c r="G916" t="str">
        <f>"261.00"</f>
        <v>261.00</v>
      </c>
      <c r="H916" t="str">
        <f>"Consorzio di bonifica Bacchiglione"</f>
        <v>Consorzio di bonifica Bacchiglione</v>
      </c>
      <c r="I916" t="str">
        <f>"92223390284"</f>
        <v>92223390284</v>
      </c>
      <c r="J916" t="str">
        <f>"23-AFFIDAMENTO DIRETTO"</f>
        <v>23-AFFIDAMENTO DIRETTO</v>
      </c>
      <c r="K916" t="str">
        <f>"15/11/2021"</f>
        <v>15/11/2021</v>
      </c>
      <c r="L916" t="str">
        <f>"30/11/2021"</f>
        <v>30/11/2021</v>
      </c>
      <c r="M916" t="str">
        <f>""</f>
        <v/>
      </c>
      <c r="N916" t="str">
        <f>"Zagolin Giovanni s.r.l. Via Gelsi 56 35028 Piove di Sacco PD"</f>
        <v>Zagolin Giovanni s.r.l. Via Gelsi 56 35028 Piove di Sacco PD</v>
      </c>
      <c r="O916" t="str">
        <f>"Zagolin Giovanni s.r.l. Via Gelsi 56 35028 Piove di Sacco PD"</f>
        <v>Zagolin Giovanni s.r.l. Via Gelsi 56 35028 Piove di Sacco PD</v>
      </c>
      <c r="P916" t="str">
        <f>"Z8533E7E60: [0.00€ ]"</f>
        <v>Z8533E7E60: [0.00€ ]</v>
      </c>
      <c r="Q916" t="str">
        <f>""</f>
        <v/>
      </c>
      <c r="R916" t="str">
        <f>""</f>
        <v/>
      </c>
      <c r="S916" t="str">
        <f>""</f>
        <v/>
      </c>
      <c r="T916" t="str">
        <f>"https://portaletrasparenza.consorziobacchiglione.it/dettagli/attodigara/7285/fornitura-mc-3-50-di-calcestruzzo-rck-300-s4-per-lavori-presso-scolo-sedici.html"</f>
        <v>https://portaletrasparenza.consorziobacchiglione.it/dettagli/attodigara/7285/fornitura-mc-3-50-di-calcestruzzo-rck-300-s4-per-lavori-presso-scolo-sedici.html</v>
      </c>
      <c r="U916" t="str">
        <f>"https://portaletrasparenza.consorziobacchiglione.it/download/attodigara/7285/62a210bf1ec61.PDF"</f>
        <v>https://portaletrasparenza.consorziobacchiglione.it/download/attodigara/7285/62a210bf1ec61.PDF</v>
      </c>
      <c r="V916">
        <f>(SUBSTITUTE(Tabella1[[#This Row],[Importo di aggiudicazione]],".",","))-(SUBSTITUTE(  SUBSTITUTE(          SUBSTITUTE(Tabella1[[#This Row],[Dettaglio somme liquidate]],Tabella1[[#This Row],[CIG]]&amp;": [",""),"€ ]",""),".",","))</f>
        <v>261</v>
      </c>
    </row>
    <row r="917" spans="1:22" x14ac:dyDescent="0.3">
      <c r="A917" t="str">
        <f>"Affidamento"</f>
        <v>Affidamento</v>
      </c>
      <c r="B917" t="str">
        <f>"Sostituzione schede inverter pompa n.5 Idrovora Voltabarozzo"</f>
        <v>Sostituzione schede inverter pompa n.5 Idrovora Voltabarozzo</v>
      </c>
      <c r="C917" t="str">
        <f>"Z781C8B4F7"</f>
        <v>Z781C8B4F7</v>
      </c>
      <c r="D917" t="str">
        <f>"04/11/2021"</f>
        <v>04/11/2021</v>
      </c>
      <c r="E917" t="str">
        <f>""</f>
        <v/>
      </c>
      <c r="F917" t="str">
        <f>""</f>
        <v/>
      </c>
      <c r="G917" t="str">
        <f>"3037.00"</f>
        <v>3037.00</v>
      </c>
      <c r="H917" t="str">
        <f>"Consorzio di bonifica Bacchiglione"</f>
        <v>Consorzio di bonifica Bacchiglione</v>
      </c>
      <c r="I917" t="str">
        <f>"92223390284"</f>
        <v>92223390284</v>
      </c>
      <c r="J917" t="str">
        <f>"23-AFFIDAMENTO DIRETTO"</f>
        <v>23-AFFIDAMENTO DIRETTO</v>
      </c>
      <c r="K917" t="str">
        <f>"15/12/2021"</f>
        <v>15/12/2021</v>
      </c>
      <c r="L917" t="str">
        <f>"27/12/2021"</f>
        <v>27/12/2021</v>
      </c>
      <c r="M917" t="str">
        <f>""</f>
        <v/>
      </c>
      <c r="N917" t="str">
        <f>"SCHNEIDER ELECTRIC S.P.A. Via Circonvallazione Est, 1 - 24040 Stezzano (BG)"</f>
        <v>SCHNEIDER ELECTRIC S.P.A. Via Circonvallazione Est, 1 - 24040 Stezzano (BG)</v>
      </c>
      <c r="O917" t="str">
        <f>"SCHNEIDER ELECTRIC S.P.A. Via Circonvallazione Est, 1 - 24040 Stezzano (BG)"</f>
        <v>SCHNEIDER ELECTRIC S.P.A. Via Circonvallazione Est, 1 - 24040 Stezzano (BG)</v>
      </c>
      <c r="P917" t="str">
        <f>"Z781C8B4F7: [3037.00€ ]"</f>
        <v>Z781C8B4F7: [3037.00€ ]</v>
      </c>
      <c r="Q917" t="str">
        <f>""</f>
        <v/>
      </c>
      <c r="R917" t="str">
        <f>""</f>
        <v/>
      </c>
      <c r="S917" t="str">
        <f>""</f>
        <v/>
      </c>
      <c r="T917" t="str">
        <f>"https://portaletrasparenza.consorziobacchiglione.it/dettagli/attodigara/1005/sostituzione-schede-inverter-pompa-n-5-idrovora-voltabarozzo.html"</f>
        <v>https://portaletrasparenza.consorziobacchiglione.it/dettagli/attodigara/1005/sostituzione-schede-inverter-pompa-n-5-idrovora-voltabarozzo.html</v>
      </c>
      <c r="U917" t="str">
        <f>""</f>
        <v/>
      </c>
      <c r="V91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18" spans="1:22" x14ac:dyDescent="0.3">
      <c r="A918" t="str">
        <f>"Affidamento"</f>
        <v>Affidamento</v>
      </c>
      <c r="B918" t="str">
        <f>"Fornitura n.1000 mascherine chirurgiche 3 strati, n.100 mascherine senza valvola FFP2 e n.20 gel igienizzante mani da 500 ML per personale consortile."</f>
        <v>Fornitura n.1000 mascherine chirurgiche 3 strati, n.100 mascherine senza valvola FFP2 e n.20 gel igienizzante mani da 500 ML per personale consortile.</v>
      </c>
      <c r="C918" t="str">
        <f>"Z54346C5B0"</f>
        <v>Z54346C5B0</v>
      </c>
      <c r="D918" t="str">
        <f>"16/12/2021"</f>
        <v>16/12/2021</v>
      </c>
      <c r="E918" t="str">
        <f>""</f>
        <v/>
      </c>
      <c r="F918" t="str">
        <f>""</f>
        <v/>
      </c>
      <c r="G918" t="str">
        <f>"191.70"</f>
        <v>191.70</v>
      </c>
      <c r="H918" t="str">
        <f>"Consorzio di bonifica Bacchiglione"</f>
        <v>Consorzio di bonifica Bacchiglione</v>
      </c>
      <c r="I918" t="str">
        <f>"92223390284"</f>
        <v>92223390284</v>
      </c>
      <c r="J918" t="str">
        <f>"23-AFFIDAMENTO DIRETTO"</f>
        <v>23-AFFIDAMENTO DIRETTO</v>
      </c>
      <c r="K918" t="str">
        <f>"15/12/2021"</f>
        <v>15/12/2021</v>
      </c>
      <c r="L918" t="str">
        <f>"23/12/2021"</f>
        <v>23/12/2021</v>
      </c>
      <c r="M918" t="str">
        <f>""</f>
        <v/>
      </c>
      <c r="N918" t="str">
        <f>"Bianchi Ingrosso S.R.L. Via Desman 503 - 35010 Borgoricco (PD)"</f>
        <v>Bianchi Ingrosso S.R.L. Via Desman 503 - 35010 Borgoricco (PD)</v>
      </c>
      <c r="O918" t="str">
        <f>"Bianchi Ingrosso S.R.L. Via Desman 503 - 35010 Borgoricco (PD)"</f>
        <v>Bianchi Ingrosso S.R.L. Via Desman 503 - 35010 Borgoricco (PD)</v>
      </c>
      <c r="P918" t="s">
        <v>304</v>
      </c>
      <c r="Q918" t="str">
        <f>""</f>
        <v/>
      </c>
      <c r="R918" t="str">
        <f>""</f>
        <v/>
      </c>
      <c r="S918" t="str">
        <f>""</f>
        <v/>
      </c>
      <c r="T918" t="str">
        <f>"https://portaletrasparenza.consorziobacchiglione.it/dettagli/attodigara/7350/fornitura-n-1000-mascherine-chirurgiche-3-strati-n-100-mascherine-senza-valvola-ffp2-e-n-20-gel-igienizzante-mani-da-500-ml-per-personale-consortile.html"</f>
        <v>https://portaletrasparenza.consorziobacchiglione.it/dettagli/attodigara/7350/fornitura-n-1000-mascherine-chirurgiche-3-strati-n-100-mascherine-senza-valvola-ffp2-e-n-20-gel-igienizzante-mani-da-500-ml-per-personale-consortile.html</v>
      </c>
      <c r="U918" t="str">
        <f>"https://portaletrasparenza.consorziobacchiglione.it/download/attodigara/7350/63ac45f9e9d57.PDF"</f>
        <v>https://portaletrasparenza.consorziobacchiglione.it/download/attodigara/7350/63ac45f9e9d57.PDF</v>
      </c>
      <c r="V91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19" spans="1:22" x14ac:dyDescent="0.3">
      <c r="A919" t="str">
        <f>"Affidamento"</f>
        <v>Affidamento</v>
      </c>
      <c r="B919" t="str">
        <f>"Riparazione copertura del mezzo targato: FN935RF"</f>
        <v>Riparazione copertura del mezzo targato: FN935RF</v>
      </c>
      <c r="C919" t="str">
        <f>"ZEB346D7D6"</f>
        <v>ZEB346D7D6</v>
      </c>
      <c r="D919" t="str">
        <f>"16/12/2021"</f>
        <v>16/12/2021</v>
      </c>
      <c r="E919" t="str">
        <f>""</f>
        <v/>
      </c>
      <c r="F919" t="str">
        <f>""</f>
        <v/>
      </c>
      <c r="G919" t="str">
        <f>"17.50"</f>
        <v>17.50</v>
      </c>
      <c r="H919" t="str">
        <f>"Consorzio di bonifica Bacchiglione"</f>
        <v>Consorzio di bonifica Bacchiglione</v>
      </c>
      <c r="I919" t="str">
        <f>"92223390284"</f>
        <v>92223390284</v>
      </c>
      <c r="J919" t="str">
        <f>"23-AFFIDAMENTO DIRETTO"</f>
        <v>23-AFFIDAMENTO DIRETTO</v>
      </c>
      <c r="K919" t="str">
        <f>"15/12/2021"</f>
        <v>15/12/2021</v>
      </c>
      <c r="L919" t="str">
        <f>"20/12/2021"</f>
        <v>20/12/2021</v>
      </c>
      <c r="M919" t="str">
        <f>""</f>
        <v/>
      </c>
      <c r="N919" t="str">
        <f>"Galesso Roberto Via San Rocco 52B 35028 Piove di Sacco PD"</f>
        <v>Galesso Roberto Via San Rocco 52B 35028 Piove di Sacco PD</v>
      </c>
      <c r="O919" t="str">
        <f>"Galesso Roberto Via San Rocco 52B 35028 Piove di Sacco PD"</f>
        <v>Galesso Roberto Via San Rocco 52B 35028 Piove di Sacco PD</v>
      </c>
      <c r="P919" t="s">
        <v>350</v>
      </c>
      <c r="Q919" t="str">
        <f>""</f>
        <v/>
      </c>
      <c r="R919" t="str">
        <f>""</f>
        <v/>
      </c>
      <c r="S919" t="str">
        <f>""</f>
        <v/>
      </c>
      <c r="T919" t="str">
        <f>"https://portaletrasparenza.consorziobacchiglione.it/dettagli/attodigara/7352/riparazione-copertura-del-mezzo-targato-fn935rf.html"</f>
        <v>https://portaletrasparenza.consorziobacchiglione.it/dettagli/attodigara/7352/riparazione-copertura-del-mezzo-targato-fn935rf.html</v>
      </c>
      <c r="U919" t="str">
        <f>"https://portaletrasparenza.consorziobacchiglione.it/download/attodigara/7352/63ac45fa67d39.PDF"</f>
        <v>https://portaletrasparenza.consorziobacchiglione.it/download/attodigara/7352/63ac45fa67d39.PDF</v>
      </c>
      <c r="V91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20" spans="1:22" x14ac:dyDescent="0.3">
      <c r="A920" t="str">
        <f>"Affidamento"</f>
        <v>Affidamento</v>
      </c>
      <c r="B920" t="str">
        <f>"Manutenzione ordinaria delle 4500 ore e sistemazione cavo sgancio benna del mezzo targato: ALA152"</f>
        <v>Manutenzione ordinaria delle 4500 ore e sistemazione cavo sgancio benna del mezzo targato: ALA152</v>
      </c>
      <c r="C920" t="str">
        <f>"ZA8346D286"</f>
        <v>ZA8346D286</v>
      </c>
      <c r="D920" t="str">
        <f>"16/12/2021"</f>
        <v>16/12/2021</v>
      </c>
      <c r="E920" t="str">
        <f>""</f>
        <v/>
      </c>
      <c r="F920" t="str">
        <f>""</f>
        <v/>
      </c>
      <c r="G920" t="str">
        <f>"1795.59"</f>
        <v>1795.59</v>
      </c>
      <c r="H920" t="str">
        <f>"Consorzio di bonifica Bacchiglione"</f>
        <v>Consorzio di bonifica Bacchiglione</v>
      </c>
      <c r="I920" t="str">
        <f>"92223390284"</f>
        <v>92223390284</v>
      </c>
      <c r="J920" t="str">
        <f>"23-AFFIDAMENTO DIRETTO"</f>
        <v>23-AFFIDAMENTO DIRETTO</v>
      </c>
      <c r="K920" t="str">
        <f>"15/12/2021"</f>
        <v>15/12/2021</v>
      </c>
      <c r="L920" t="str">
        <f>"11/01/2022"</f>
        <v>11/01/2022</v>
      </c>
      <c r="M920" t="str">
        <f>""</f>
        <v/>
      </c>
      <c r="N920" t="str">
        <f>"Adriatica Commerciale Macchine s.r.l. Via dell'Artigianato 5 35020 Due Carrare PD"</f>
        <v>Adriatica Commerciale Macchine s.r.l. Via dell'Artigianato 5 35020 Due Carrare PD</v>
      </c>
      <c r="O920" t="str">
        <f>"Adriatica Commerciale Macchine s.r.l. Via dell'Artigianato 5 35020 Due Carrare PD"</f>
        <v>Adriatica Commerciale Macchine s.r.l. Via dell'Artigianato 5 35020 Due Carrare PD</v>
      </c>
      <c r="P920" t="str">
        <f>"ZA8346D286: [1795.59€ ]"</f>
        <v>ZA8346D286: [1795.59€ ]</v>
      </c>
      <c r="Q920" t="str">
        <f>""</f>
        <v/>
      </c>
      <c r="R920" t="str">
        <f>""</f>
        <v/>
      </c>
      <c r="S920" t="str">
        <f>""</f>
        <v/>
      </c>
      <c r="T920" t="str">
        <f>"https://portaletrasparenza.consorziobacchiglione.it/dettagli/attodigara/7351/manutenzione-ordinaria-delle-4500-ore-e-sistemazione-cavo-sgancio-benna-del-mezzo-targato-ala152.html"</f>
        <v>https://portaletrasparenza.consorziobacchiglione.it/dettagli/attodigara/7351/manutenzione-ordinaria-delle-4500-ore-e-sistemazione-cavo-sgancio-benna-del-mezzo-targato-ala152.html</v>
      </c>
      <c r="U920" t="str">
        <f>"https://portaletrasparenza.consorziobacchiglione.it/download/attodigara/7351/63ac45fa2eec2.PDF"</f>
        <v>https://portaletrasparenza.consorziobacchiglione.it/download/attodigara/7351/63ac45fa2eec2.PDF</v>
      </c>
      <c r="V92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21" spans="1:22" x14ac:dyDescent="0.3">
      <c r="A921" t="str">
        <f>"Affidamento"</f>
        <v>Affidamento</v>
      </c>
      <c r="B921" t="str">
        <f>"Fornitura toner per stampante ufficio C.O. Bovolenta."</f>
        <v>Fornitura toner per stampante ufficio C.O. Bovolenta.</v>
      </c>
      <c r="C921" t="str">
        <f>"ZBC188C0CC"</f>
        <v>ZBC188C0CC</v>
      </c>
      <c r="D921" t="str">
        <f>"04/11/2021"</f>
        <v>04/11/2021</v>
      </c>
      <c r="E921" t="str">
        <f>""</f>
        <v/>
      </c>
      <c r="F921" t="str">
        <f>""</f>
        <v/>
      </c>
      <c r="G921" t="str">
        <f>"288.00"</f>
        <v>288.00</v>
      </c>
      <c r="H921" t="str">
        <f>"Consorzio di bonifica Bacchiglione"</f>
        <v>Consorzio di bonifica Bacchiglione</v>
      </c>
      <c r="I921" t="str">
        <f>"92223390284"</f>
        <v>92223390284</v>
      </c>
      <c r="J921" t="str">
        <f>"23-AFFIDAMENTO DIRETTO"</f>
        <v>23-AFFIDAMENTO DIRETTO</v>
      </c>
      <c r="K921" t="str">
        <f>"16/02/2021"</f>
        <v>16/02/2021</v>
      </c>
      <c r="L921" t="str">
        <f>"24/02/2021"</f>
        <v>24/02/2021</v>
      </c>
      <c r="M921" t="str">
        <f>""</f>
        <v/>
      </c>
      <c r="N921" t="str">
        <f>"TPH Elettronica s.a.s. Via N. Pizzolo 51A 35132 Padova"</f>
        <v>TPH Elettronica s.a.s. Via N. Pizzolo 51A 35132 Padova</v>
      </c>
      <c r="O921" t="str">
        <f>"TPH Elettronica s.a.s. Via N. Pizzolo 51A 35132 Padova"</f>
        <v>TPH Elettronica s.a.s. Via N. Pizzolo 51A 35132 Padova</v>
      </c>
      <c r="P921" t="str">
        <f>"ZBC188C0CC: [288.00€ ]"</f>
        <v>ZBC188C0CC: [288.00€ ]</v>
      </c>
      <c r="Q921" t="str">
        <f>""</f>
        <v/>
      </c>
      <c r="R921" t="str">
        <f>""</f>
        <v/>
      </c>
      <c r="S921" t="str">
        <f>""</f>
        <v/>
      </c>
      <c r="T921" t="str">
        <f>"https://portaletrasparenza.consorziobacchiglione.it/dettagli/attodigara/165/fornitura-toner-per-stampante-ufficio-c-o-bovolenta.html"</f>
        <v>https://portaletrasparenza.consorziobacchiglione.it/dettagli/attodigara/165/fornitura-toner-per-stampante-ufficio-c-o-bovolenta.html</v>
      </c>
      <c r="U921" t="str">
        <f>""</f>
        <v/>
      </c>
      <c r="V9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22" spans="1:22" x14ac:dyDescent="0.3">
      <c r="A922" t="str">
        <f>"Affidamento"</f>
        <v>Affidamento</v>
      </c>
      <c r="B922" t="str">
        <f>"Pulizia bacino scolmatore su Idrovora Cà Nordio."</f>
        <v>Pulizia bacino scolmatore su Idrovora Cà Nordio.</v>
      </c>
      <c r="C922" t="str">
        <f>"ZD7188BE45"</f>
        <v>ZD7188BE45</v>
      </c>
      <c r="D922" t="str">
        <f>"04/11/2021"</f>
        <v>04/11/2021</v>
      </c>
      <c r="E922" t="str">
        <f>""</f>
        <v/>
      </c>
      <c r="F922" t="str">
        <f>""</f>
        <v/>
      </c>
      <c r="G922" t="str">
        <f>"2000.00"</f>
        <v>2000.00</v>
      </c>
      <c r="H922" t="str">
        <f>"Consorzio di bonifica Bacchiglione"</f>
        <v>Consorzio di bonifica Bacchiglione</v>
      </c>
      <c r="I922" t="str">
        <f>"92223390284"</f>
        <v>92223390284</v>
      </c>
      <c r="J922" t="str">
        <f>"23-AFFIDAMENTO DIRETTO"</f>
        <v>23-AFFIDAMENTO DIRETTO</v>
      </c>
      <c r="K922" t="str">
        <f>"16/02/2021"</f>
        <v>16/02/2021</v>
      </c>
      <c r="L922" t="str">
        <f>"07/03/2021"</f>
        <v>07/03/2021</v>
      </c>
      <c r="M922" t="str">
        <f>""</f>
        <v/>
      </c>
      <c r="N922" t="str">
        <f>"Viale Valter Via 1° Maggio 124 30010 Campagna Lupia VE"</f>
        <v>Viale Valter Via 1° Maggio 124 30010 Campagna Lupia VE</v>
      </c>
      <c r="O922" t="str">
        <f>"Viale Valter Via 1° Maggio 124 30010 Campagna Lupia VE"</f>
        <v>Viale Valter Via 1° Maggio 124 30010 Campagna Lupia VE</v>
      </c>
      <c r="P922" t="str">
        <f>"ZD7188BE45: [2000.00€ ]"</f>
        <v>ZD7188BE45: [2000.00€ ]</v>
      </c>
      <c r="Q922" t="str">
        <f>""</f>
        <v/>
      </c>
      <c r="R922" t="str">
        <f>""</f>
        <v/>
      </c>
      <c r="S922" t="str">
        <f>""</f>
        <v/>
      </c>
      <c r="T922" t="str">
        <f>"https://portaletrasparenza.consorziobacchiglione.it/dettagli/attodigara/164/pulizia-bacino-scolmatore-su-idrovora-ca-nordio.html"</f>
        <v>https://portaletrasparenza.consorziobacchiglione.it/dettagli/attodigara/164/pulizia-bacino-scolmatore-su-idrovora-ca-nordio.html</v>
      </c>
      <c r="U922" t="str">
        <f>""</f>
        <v/>
      </c>
      <c r="V9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23" spans="1:22" x14ac:dyDescent="0.3">
      <c r="A923" t="str">
        <f>"Affidamento"</f>
        <v>Affidamento</v>
      </c>
      <c r="B923" t="str">
        <f>"Lavoro di spostamento quadro elettrico Idrovora S.Margherita."</f>
        <v>Lavoro di spostamento quadro elettrico Idrovora S.Margherita.</v>
      </c>
      <c r="C923" t="str">
        <f>"ZBD188A3A7"</f>
        <v>ZBD188A3A7</v>
      </c>
      <c r="D923" t="str">
        <f>"04/11/2021"</f>
        <v>04/11/2021</v>
      </c>
      <c r="E923" t="str">
        <f>""</f>
        <v/>
      </c>
      <c r="F923" t="str">
        <f>""</f>
        <v/>
      </c>
      <c r="G923" t="str">
        <f>"4350.00"</f>
        <v>4350.00</v>
      </c>
      <c r="H923" t="str">
        <f>"Consorzio di bonifica Bacchiglione"</f>
        <v>Consorzio di bonifica Bacchiglione</v>
      </c>
      <c r="I923" t="str">
        <f>"92223390284"</f>
        <v>92223390284</v>
      </c>
      <c r="J923" t="str">
        <f>"23-AFFIDAMENTO DIRETTO"</f>
        <v>23-AFFIDAMENTO DIRETTO</v>
      </c>
      <c r="K923" t="str">
        <f>"16/02/2021"</f>
        <v>16/02/2021</v>
      </c>
      <c r="L923" t="str">
        <f>"14/04/2021"</f>
        <v>14/04/2021</v>
      </c>
      <c r="M923" t="str">
        <f>""</f>
        <v/>
      </c>
      <c r="N923" t="str">
        <f>"GPG SRL Via Marco Polo 22 35020 Albignasego PD"</f>
        <v>GPG SRL Via Marco Polo 22 35020 Albignasego PD</v>
      </c>
      <c r="O923" t="str">
        <f>"GPG SRL Via Marco Polo 22 35020 Albignasego PD"</f>
        <v>GPG SRL Via Marco Polo 22 35020 Albignasego PD</v>
      </c>
      <c r="P923" t="str">
        <f>"ZBD188A3A7: [4350.00€ ]"</f>
        <v>ZBD188A3A7: [4350.00€ ]</v>
      </c>
      <c r="Q923" t="str">
        <f>""</f>
        <v/>
      </c>
      <c r="R923" t="str">
        <f>""</f>
        <v/>
      </c>
      <c r="S923" t="str">
        <f>""</f>
        <v/>
      </c>
      <c r="T923" t="str">
        <f>"https://portaletrasparenza.consorziobacchiglione.it/dettagli/attodigara/163/lavoro-di-spostamento-quadro-elettrico-idrovora-s-margherita.html"</f>
        <v>https://portaletrasparenza.consorziobacchiglione.it/dettagli/attodigara/163/lavoro-di-spostamento-quadro-elettrico-idrovora-s-margherita.html</v>
      </c>
      <c r="U923" t="str">
        <f>""</f>
        <v/>
      </c>
      <c r="V9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24" spans="1:22" x14ac:dyDescent="0.3">
      <c r="A924" t="str">
        <f>"Affidamento"</f>
        <v>Affidamento</v>
      </c>
      <c r="B924" t="str">
        <f>"Smont/montaggio camera su mezzo con targa: AJP870."</f>
        <v>Smont/montaggio camera su mezzo con targa: AJP870.</v>
      </c>
      <c r="C924" t="str">
        <f>"ZF31889F94"</f>
        <v>ZF31889F94</v>
      </c>
      <c r="D924" t="str">
        <f>"04/11/2021"</f>
        <v>04/11/2021</v>
      </c>
      <c r="E924" t="str">
        <f>""</f>
        <v/>
      </c>
      <c r="F924" t="str">
        <f>""</f>
        <v/>
      </c>
      <c r="G924" t="str">
        <f>"65.00"</f>
        <v>65.00</v>
      </c>
      <c r="H924" t="str">
        <f>"Consorzio di bonifica Bacchiglione"</f>
        <v>Consorzio di bonifica Bacchiglione</v>
      </c>
      <c r="I924" t="str">
        <f>"92223390284"</f>
        <v>92223390284</v>
      </c>
      <c r="J924" t="str">
        <f>"23-AFFIDAMENTO DIRETTO"</f>
        <v>23-AFFIDAMENTO DIRETTO</v>
      </c>
      <c r="K924" t="str">
        <f>"16/02/2021"</f>
        <v>16/02/2021</v>
      </c>
      <c r="L924" t="str">
        <f>"10/03/2021"</f>
        <v>10/03/2021</v>
      </c>
      <c r="M924" t="str">
        <f>""</f>
        <v/>
      </c>
      <c r="N924" t="str">
        <f>"Galesso Roberto Via San Rocco 52B 35028 Piove di Sacco PD"</f>
        <v>Galesso Roberto Via San Rocco 52B 35028 Piove di Sacco PD</v>
      </c>
      <c r="O924" t="str">
        <f>"Galesso Roberto Via San Rocco 52B 35028 Piove di Sacco PD"</f>
        <v>Galesso Roberto Via San Rocco 52B 35028 Piove di Sacco PD</v>
      </c>
      <c r="P924" t="str">
        <f>"ZF31889F94: [65.00€ ]"</f>
        <v>ZF31889F94: [65.00€ ]</v>
      </c>
      <c r="Q924" t="str">
        <f>""</f>
        <v/>
      </c>
      <c r="R924" t="str">
        <f>""</f>
        <v/>
      </c>
      <c r="S924" t="str">
        <f>""</f>
        <v/>
      </c>
      <c r="T924" t="str">
        <f>"https://portaletrasparenza.consorziobacchiglione.it/dettagli/attodigara/161/smont-montaggio-camera-su-mezzo-con-targa-ajp870.html"</f>
        <v>https://portaletrasparenza.consorziobacchiglione.it/dettagli/attodigara/161/smont-montaggio-camera-su-mezzo-con-targa-ajp870.html</v>
      </c>
      <c r="U924" t="str">
        <f>""</f>
        <v/>
      </c>
      <c r="V9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25" spans="1:22" x14ac:dyDescent="0.3">
      <c r="A925" t="str">
        <f>"Affidamento"</f>
        <v>Affidamento</v>
      </c>
      <c r="B925" t="str">
        <f>"Fornitura n 2 tubi circolari diametro 30 e n 1 prolunga per scolo Rialto."</f>
        <v>Fornitura n 2 tubi circolari diametro 30 e n 1 prolunga per scolo Rialto.</v>
      </c>
      <c r="C925" t="str">
        <f>"ZA7188A1A5"</f>
        <v>ZA7188A1A5</v>
      </c>
      <c r="D925" t="str">
        <f>"04/11/2021"</f>
        <v>04/11/2021</v>
      </c>
      <c r="E925" t="str">
        <f>""</f>
        <v/>
      </c>
      <c r="F925" t="str">
        <f>""</f>
        <v/>
      </c>
      <c r="G925" t="str">
        <f>"100.61"</f>
        <v>100.61</v>
      </c>
      <c r="H925" t="str">
        <f>"Consorzio di bonifica Bacchiglione"</f>
        <v>Consorzio di bonifica Bacchiglione</v>
      </c>
      <c r="I925" t="str">
        <f>"92223390284"</f>
        <v>92223390284</v>
      </c>
      <c r="J925" t="str">
        <f>"23-AFFIDAMENTO DIRETTO"</f>
        <v>23-AFFIDAMENTO DIRETTO</v>
      </c>
      <c r="K925" t="str">
        <f>"16/02/2021"</f>
        <v>16/02/2021</v>
      </c>
      <c r="L925" t="str">
        <f>"18/03/2021"</f>
        <v>18/03/2021</v>
      </c>
      <c r="M925" t="str">
        <f>""</f>
        <v/>
      </c>
      <c r="N925" t="str">
        <f>"Manufatti Bedin Via delle Industrie 12 35020 Albignasego PD"</f>
        <v>Manufatti Bedin Via delle Industrie 12 35020 Albignasego PD</v>
      </c>
      <c r="O925" t="str">
        <f>"Manufatti Bedin Via delle Industrie 12 35020 Albignasego PD"</f>
        <v>Manufatti Bedin Via delle Industrie 12 35020 Albignasego PD</v>
      </c>
      <c r="P925" t="str">
        <f>"ZA7188A1A5: [100.60€ ]"</f>
        <v>ZA7188A1A5: [100.60€ ]</v>
      </c>
      <c r="Q925" t="str">
        <f>""</f>
        <v/>
      </c>
      <c r="R925" t="str">
        <f>""</f>
        <v/>
      </c>
      <c r="S925" t="str">
        <f>""</f>
        <v/>
      </c>
      <c r="T925" t="str">
        <f>"https://portaletrasparenza.consorziobacchiglione.it/dettagli/attodigara/162/fornitura-n-2-tubi-circolari-diametro-30-e-n-1-prolunga-per-scolo-rialto.html"</f>
        <v>https://portaletrasparenza.consorziobacchiglione.it/dettagli/attodigara/162/fornitura-n-2-tubi-circolari-diametro-30-e-n-1-prolunga-per-scolo-rialto.html</v>
      </c>
      <c r="U925" t="str">
        <f>""</f>
        <v/>
      </c>
      <c r="V925">
        <f>(SUBSTITUTE(Tabella1[[#This Row],[Importo di aggiudicazione]],".",","))-(SUBSTITUTE(  SUBSTITUTE(          SUBSTITUTE(Tabella1[[#This Row],[Dettaglio somme liquidate]],Tabella1[[#This Row],[CIG]]&amp;": [",""),"€ ]",""),".",","))</f>
        <v>1.0000000000005116E-2</v>
      </c>
    </row>
    <row r="926" spans="1:22" x14ac:dyDescent="0.3">
      <c r="A926" t="str">
        <f>"Affidamento"</f>
        <v>Affidamento</v>
      </c>
      <c r="B926" t="str">
        <f>"Fornitura nuova sella di attacco per nostro piantapali PB401 presso nuovo escavatore Kubota"</f>
        <v>Fornitura nuova sella di attacco per nostro piantapali PB401 presso nuovo escavatore Kubota</v>
      </c>
      <c r="C926" t="str">
        <f>"Z4D30A90CB"</f>
        <v>Z4D30A90CB</v>
      </c>
      <c r="D926" t="str">
        <f>"16/02/2021"</f>
        <v>16/02/2021</v>
      </c>
      <c r="E926" t="str">
        <f>""</f>
        <v/>
      </c>
      <c r="F926" t="str">
        <f>""</f>
        <v/>
      </c>
      <c r="G926" t="str">
        <f>"1068.18"</f>
        <v>1068.18</v>
      </c>
      <c r="H926" t="str">
        <f>"Consorzio di bonifica Bacchiglione"</f>
        <v>Consorzio di bonifica Bacchiglione</v>
      </c>
      <c r="I926" t="str">
        <f>"92223390284"</f>
        <v>92223390284</v>
      </c>
      <c r="J926" t="str">
        <f>"23-AFFIDAMENTO DIRETTO"</f>
        <v>23-AFFIDAMENTO DIRETTO</v>
      </c>
      <c r="K926" t="str">
        <f>"16/02/2021"</f>
        <v>16/02/2021</v>
      </c>
      <c r="L926" t="str">
        <f>"23/02/2021"</f>
        <v>23/02/2021</v>
      </c>
      <c r="M926" t="str">
        <f>""</f>
        <v/>
      </c>
      <c r="N926" t="str">
        <f>"Sorme s.n.c. Via Monache 21 35030 Selvazzano Dentro PD"</f>
        <v>Sorme s.n.c. Via Monache 21 35030 Selvazzano Dentro PD</v>
      </c>
      <c r="O926" t="str">
        <f>"Sorme s.n.c. Via Monache 21 35030 Selvazzano Dentro PD"</f>
        <v>Sorme s.n.c. Via Monache 21 35030 Selvazzano Dentro PD</v>
      </c>
      <c r="P926" t="str">
        <f>"Z4D30A90CB: [1068.18€ ]"</f>
        <v>Z4D30A90CB: [1068.18€ ]</v>
      </c>
      <c r="Q926" t="str">
        <f>""</f>
        <v/>
      </c>
      <c r="R926" t="str">
        <f>""</f>
        <v/>
      </c>
      <c r="S926" t="str">
        <f>""</f>
        <v/>
      </c>
      <c r="T926" t="str">
        <f>"https://portaletrasparenza.consorziobacchiglione.it/dettagli/attodigara/6636/fornitura-nuova-sella-di-attacco-per-nostro-piantapali-pb401-presso-nuovo-escavatore-kubota.html"</f>
        <v>https://portaletrasparenza.consorziobacchiglione.it/dettagli/attodigara/6636/fornitura-nuova-sella-di-attacco-per-nostro-piantapali-pb401-presso-nuovo-escavatore-kubota.html</v>
      </c>
      <c r="U926" t="str">
        <f>"https://portaletrasparenza.consorziobacchiglione.it/download/attodigara/6636/63ac455c4a3c7.PDF"</f>
        <v>https://portaletrasparenza.consorziobacchiglione.it/download/attodigara/6636/63ac455c4a3c7.PDF</v>
      </c>
      <c r="V9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27" spans="1:22" x14ac:dyDescent="0.3">
      <c r="A927" t="str">
        <f>"Affidamento"</f>
        <v>Affidamento</v>
      </c>
      <c r="B927" t="str">
        <f>"Noleggio escavatore cingolato 135 q.li per lavori presso scolo Bottesina"</f>
        <v>Noleggio escavatore cingolato 135 q.li per lavori presso scolo Bottesina</v>
      </c>
      <c r="C927" t="str">
        <f>"ZA830A66A6"</f>
        <v>ZA830A66A6</v>
      </c>
      <c r="D927" t="str">
        <f>"16/02/2021"</f>
        <v>16/02/2021</v>
      </c>
      <c r="E927" t="str">
        <f>""</f>
        <v/>
      </c>
      <c r="F927" t="str">
        <f>""</f>
        <v/>
      </c>
      <c r="G927" t="str">
        <f>"5900.00"</f>
        <v>5900.00</v>
      </c>
      <c r="H927" t="str">
        <f>"Consorzio di bonifica Bacchiglione"</f>
        <v>Consorzio di bonifica Bacchiglione</v>
      </c>
      <c r="I927" t="str">
        <f>"92223390284"</f>
        <v>92223390284</v>
      </c>
      <c r="J927" t="str">
        <f>"23-AFFIDAMENTO DIRETTO"</f>
        <v>23-AFFIDAMENTO DIRETTO</v>
      </c>
      <c r="K927" t="str">
        <f>"16/02/2021"</f>
        <v>16/02/2021</v>
      </c>
      <c r="L927" t="str">
        <f>"24/02/2021"</f>
        <v>24/02/2021</v>
      </c>
      <c r="M927" t="str">
        <f>""</f>
        <v/>
      </c>
      <c r="N927" t="str">
        <f>"Franco Clò Via Boscon 9 - 32100 Belluno"</f>
        <v>Franco Clò Via Boscon 9 - 32100 Belluno</v>
      </c>
      <c r="O927" t="str">
        <f>"Franco Clò Via Boscon 9 - 32100 Belluno"</f>
        <v>Franco Clò Via Boscon 9 - 32100 Belluno</v>
      </c>
      <c r="P927" t="str">
        <f>"ZA830A66A6: [5900.00€ ]"</f>
        <v>ZA830A66A6: [5900.00€ ]</v>
      </c>
      <c r="Q927" t="str">
        <f>""</f>
        <v/>
      </c>
      <c r="R927" t="str">
        <f>""</f>
        <v/>
      </c>
      <c r="S927" t="str">
        <f>""</f>
        <v/>
      </c>
      <c r="T927" t="str">
        <f>"https://portaletrasparenza.consorziobacchiglione.it/dettagli/attodigara/6633/noleggio-escavatore-cingolato-135-q-li-per-lavori-presso-scolo-bottesina.html"</f>
        <v>https://portaletrasparenza.consorziobacchiglione.it/dettagli/attodigara/6633/noleggio-escavatore-cingolato-135-q-li-per-lavori-presso-scolo-bottesina.html</v>
      </c>
      <c r="U927" t="str">
        <f>"https://portaletrasparenza.consorziobacchiglione.it/download/attodigara/6633/63ac455c11535.PDF"</f>
        <v>https://portaletrasparenza.consorziobacchiglione.it/download/attodigara/6633/63ac455c11535.PDF</v>
      </c>
      <c r="V92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28" spans="1:22" x14ac:dyDescent="0.3">
      <c r="A928" t="str">
        <f>"Affidamento"</f>
        <v>Affidamento</v>
      </c>
      <c r="B928" t="str">
        <f>"Noleggio Dumper Takeuchi TCR50 con cassone girevole per lavori presso scolo Bottesina"</f>
        <v>Noleggio Dumper Takeuchi TCR50 con cassone girevole per lavori presso scolo Bottesina</v>
      </c>
      <c r="C928" t="str">
        <f>"Z5E30A6264"</f>
        <v>Z5E30A6264</v>
      </c>
      <c r="D928" t="str">
        <f>"16/02/2021"</f>
        <v>16/02/2021</v>
      </c>
      <c r="E928" t="str">
        <f>""</f>
        <v/>
      </c>
      <c r="F928" t="str">
        <f>""</f>
        <v/>
      </c>
      <c r="G928" t="str">
        <f>"5750.00"</f>
        <v>5750.00</v>
      </c>
      <c r="H928" t="str">
        <f>"Consorzio di bonifica Bacchiglione"</f>
        <v>Consorzio di bonifica Bacchiglione</v>
      </c>
      <c r="I928" t="str">
        <f>"92223390284"</f>
        <v>92223390284</v>
      </c>
      <c r="J928" t="str">
        <f>"23-AFFIDAMENTO DIRETTO"</f>
        <v>23-AFFIDAMENTO DIRETTO</v>
      </c>
      <c r="K928" t="str">
        <f>"16/02/2021"</f>
        <v>16/02/2021</v>
      </c>
      <c r="L928" t="str">
        <f>"24/02/2021"</f>
        <v>24/02/2021</v>
      </c>
      <c r="M928" t="str">
        <f>""</f>
        <v/>
      </c>
      <c r="N928" t="str">
        <f>"Franco Clò Via Boscon 9 - 32100 Belluno"</f>
        <v>Franco Clò Via Boscon 9 - 32100 Belluno</v>
      </c>
      <c r="O928" t="str">
        <f>"Franco Clò Via Boscon 9 - 32100 Belluno"</f>
        <v>Franco Clò Via Boscon 9 - 32100 Belluno</v>
      </c>
      <c r="P928" t="str">
        <f>"Z5E30A6264: [5750.00€ ]"</f>
        <v>Z5E30A6264: [5750.00€ ]</v>
      </c>
      <c r="Q928" t="str">
        <f>""</f>
        <v/>
      </c>
      <c r="R928" t="str">
        <f>""</f>
        <v/>
      </c>
      <c r="S928" t="str">
        <f>""</f>
        <v/>
      </c>
      <c r="T928" t="str">
        <f>"https://portaletrasparenza.consorziobacchiglione.it/dettagli/attodigara/6631/noleggio-dumper-takeuchi-tcr50-con-cassone-girevole-per-lavori-presso-scolo-bottesina.html"</f>
        <v>https://portaletrasparenza.consorziobacchiglione.it/dettagli/attodigara/6631/noleggio-dumper-takeuchi-tcr50-con-cassone-girevole-per-lavori-presso-scolo-bottesina.html</v>
      </c>
      <c r="U928" t="str">
        <f>"https://portaletrasparenza.consorziobacchiglione.it/download/attodigara/6631/63ac455b93ceb.PDF"</f>
        <v>https://portaletrasparenza.consorziobacchiglione.it/download/attodigara/6631/63ac455b93ceb.PDF</v>
      </c>
      <c r="V9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29" spans="1:22" x14ac:dyDescent="0.3">
      <c r="A929" t="str">
        <f>"Affidamento"</f>
        <v>Affidamento</v>
      </c>
      <c r="B929" t="str">
        <f>"ID 013-19 Spostamento linea pubblica illuminazione al fine di eseguire le lavorazioni principali"</f>
        <v>ID 013-19 Spostamento linea pubblica illuminazione al fine di eseguire le lavorazioni principali</v>
      </c>
      <c r="C929" t="str">
        <f>"Z2230AA785"</f>
        <v>Z2230AA785</v>
      </c>
      <c r="D929" t="str">
        <f>"16/02/2021"</f>
        <v>16/02/2021</v>
      </c>
      <c r="E929" t="str">
        <f>""</f>
        <v/>
      </c>
      <c r="F929" t="str">
        <f>""</f>
        <v/>
      </c>
      <c r="G929" t="str">
        <f>"4115.24"</f>
        <v>4115.24</v>
      </c>
      <c r="H929" t="str">
        <f>"Consorzio di bonifica Bacchiglione"</f>
        <v>Consorzio di bonifica Bacchiglione</v>
      </c>
      <c r="I929" t="str">
        <f>"92223390284"</f>
        <v>92223390284</v>
      </c>
      <c r="J929" t="str">
        <f>"23-AFFIDAMENTO DIRETTO"</f>
        <v>23-AFFIDAMENTO DIRETTO</v>
      </c>
      <c r="K929" t="str">
        <f>"16/02/2021"</f>
        <v>16/02/2021</v>
      </c>
      <c r="L929" t="str">
        <f>"04/03/2021"</f>
        <v>04/03/2021</v>
      </c>
      <c r="M929" t="str">
        <f>""</f>
        <v/>
      </c>
      <c r="N929" t="str">
        <f>"HERA Luce"</f>
        <v>HERA Luce</v>
      </c>
      <c r="O929" t="str">
        <f>"HERA Luce"</f>
        <v>HERA Luce</v>
      </c>
      <c r="P929" t="str">
        <f>"Z2230AA785: [4115.23€ ]"</f>
        <v>Z2230AA785: [4115.23€ ]</v>
      </c>
      <c r="Q929" t="str">
        <f>""</f>
        <v/>
      </c>
      <c r="R929" t="str">
        <f>""</f>
        <v/>
      </c>
      <c r="S929" t="str">
        <f>""</f>
        <v/>
      </c>
      <c r="T929" t="str">
        <f>"https://portaletrasparenza.consorziobacchiglione.it/dettagli/attodigara/6637/id-013-19-spostamento-linea-pubblica-illuminazione-al-fine-di-eseguire-le-lavorazioni-principali.html"</f>
        <v>https://portaletrasparenza.consorziobacchiglione.it/dettagli/attodigara/6637/id-013-19-spostamento-linea-pubblica-illuminazione-al-fine-di-eseguire-le-lavorazioni-principali.html</v>
      </c>
      <c r="U929" t="str">
        <f>"https://portaletrasparenza.consorziobacchiglione.it/download/attodigara/6637/63ac455c82c1e.PDF"</f>
        <v>https://portaletrasparenza.consorziobacchiglione.it/download/attodigara/6637/63ac455c82c1e.PDF</v>
      </c>
      <c r="V929">
        <f>(SUBSTITUTE(Tabella1[[#This Row],[Importo di aggiudicazione]],".",","))-(SUBSTITUTE(  SUBSTITUTE(          SUBSTITUTE(Tabella1[[#This Row],[Dettaglio somme liquidate]],Tabella1[[#This Row],[CIG]]&amp;": [",""),"€ ]",""),".",","))</f>
        <v>1.0000000000218279E-2</v>
      </c>
    </row>
    <row r="930" spans="1:22" x14ac:dyDescent="0.3">
      <c r="A930" t="str">
        <f>"Affidamento"</f>
        <v>Affidamento</v>
      </c>
      <c r="B930" t="str">
        <f>"Fornitura n.5 Smartphone mod. Wiko Y50 per personale esterno"</f>
        <v>Fornitura n.5 Smartphone mod. Wiko Y50 per personale esterno</v>
      </c>
      <c r="C930" t="str">
        <f>"ZAA30A6344"</f>
        <v>ZAA30A6344</v>
      </c>
      <c r="D930" t="str">
        <f>"16/02/2021"</f>
        <v>16/02/2021</v>
      </c>
      <c r="E930" t="str">
        <f>""</f>
        <v/>
      </c>
      <c r="F930" t="str">
        <f>""</f>
        <v/>
      </c>
      <c r="G930" t="str">
        <f>"286.89"</f>
        <v>286.89</v>
      </c>
      <c r="H930" t="str">
        <f>"Consorzio di bonifica Bacchiglione"</f>
        <v>Consorzio di bonifica Bacchiglione</v>
      </c>
      <c r="I930" t="str">
        <f>"92223390284"</f>
        <v>92223390284</v>
      </c>
      <c r="J930" t="str">
        <f>"23-AFFIDAMENTO DIRETTO"</f>
        <v>23-AFFIDAMENTO DIRETTO</v>
      </c>
      <c r="K930" t="str">
        <f>"16/02/2021"</f>
        <v>16/02/2021</v>
      </c>
      <c r="L930" t="str">
        <f>"23/02/2021"</f>
        <v>23/02/2021</v>
      </c>
      <c r="M930" t="str">
        <f>""</f>
        <v/>
      </c>
      <c r="N930" t="str">
        <f>"Idea Service SNC Via Noalese Sud 68 - 30030 Mellaredo di Pianiga (VE)"</f>
        <v>Idea Service SNC Via Noalese Sud 68 - 30030 Mellaredo di Pianiga (VE)</v>
      </c>
      <c r="O930" t="str">
        <f>"Idea Service SNC Via Noalese Sud 68 - 30030 Mellaredo di Pianiga (VE)"</f>
        <v>Idea Service SNC Via Noalese Sud 68 - 30030 Mellaredo di Pianiga (VE)</v>
      </c>
      <c r="P930" t="str">
        <f>"ZAA30A6344: [286.48€ ]"</f>
        <v>ZAA30A6344: [286.48€ ]</v>
      </c>
      <c r="Q930" t="str">
        <f>""</f>
        <v/>
      </c>
      <c r="R930" t="str">
        <f>""</f>
        <v/>
      </c>
      <c r="S930" t="str">
        <f>""</f>
        <v/>
      </c>
      <c r="T930" t="str">
        <f>"https://portaletrasparenza.consorziobacchiglione.it/dettagli/attodigara/6632/fornitura-n-5-smartphone-mod-wiko-y50-per-personale-esterno.html"</f>
        <v>https://portaletrasparenza.consorziobacchiglione.it/dettagli/attodigara/6632/fornitura-n-5-smartphone-mod-wiko-y50-per-personale-esterno.html</v>
      </c>
      <c r="U930" t="str">
        <f>"https://portaletrasparenza.consorziobacchiglione.it/download/attodigara/6632/63ac455bcc794.PDF"</f>
        <v>https://portaletrasparenza.consorziobacchiglione.it/download/attodigara/6632/63ac455bcc794.PDF</v>
      </c>
      <c r="V930">
        <f>(SUBSTITUTE(Tabella1[[#This Row],[Importo di aggiudicazione]],".",","))-(SUBSTITUTE(  SUBSTITUTE(          SUBSTITUTE(Tabella1[[#This Row],[Dettaglio somme liquidate]],Tabella1[[#This Row],[CIG]]&amp;": [",""),"€ ]",""),".",","))</f>
        <v>0.40999999999996817</v>
      </c>
    </row>
    <row r="931" spans="1:22" x14ac:dyDescent="0.3">
      <c r="A931" t="str">
        <f>"Affidamento"</f>
        <v>Affidamento</v>
      </c>
      <c r="B931" t="str">
        <f>"Fornitura MC 14 di calcestruzzo RCK250 S4 per lavori presso scolo Cornio di Villatora"</f>
        <v>Fornitura MC 14 di calcestruzzo RCK250 S4 per lavori presso scolo Cornio di Villatora</v>
      </c>
      <c r="C931" t="str">
        <f>"Z0030A6969"</f>
        <v>Z0030A6969</v>
      </c>
      <c r="D931" t="str">
        <f>"16/02/2021"</f>
        <v>16/02/2021</v>
      </c>
      <c r="E931" t="str">
        <f>""</f>
        <v/>
      </c>
      <c r="F931" t="str">
        <f>""</f>
        <v/>
      </c>
      <c r="G931" t="str">
        <f>"302.25"</f>
        <v>302.25</v>
      </c>
      <c r="H931" t="str">
        <f>"Consorzio di bonifica Bacchiglione"</f>
        <v>Consorzio di bonifica Bacchiglione</v>
      </c>
      <c r="I931" t="str">
        <f>"92223390284"</f>
        <v>92223390284</v>
      </c>
      <c r="J931" t="str">
        <f>"23-AFFIDAMENTO DIRETTO"</f>
        <v>23-AFFIDAMENTO DIRETTO</v>
      </c>
      <c r="K931" t="str">
        <f>"16/02/2021"</f>
        <v>16/02/2021</v>
      </c>
      <c r="L931" t="str">
        <f>"27/02/2021"</f>
        <v>27/02/2021</v>
      </c>
      <c r="M931" t="str">
        <f>""</f>
        <v/>
      </c>
      <c r="N931" t="str">
        <f>"Zagolin Giovanni s.r.l. Via Gelsi 56 35028 Piove di Sacco PD"</f>
        <v>Zagolin Giovanni s.r.l. Via Gelsi 56 35028 Piove di Sacco PD</v>
      </c>
      <c r="O931" t="str">
        <f>"Zagolin Giovanni s.r.l. Via Gelsi 56 35028 Piove di Sacco PD"</f>
        <v>Zagolin Giovanni s.r.l. Via Gelsi 56 35028 Piove di Sacco PD</v>
      </c>
      <c r="P931" t="str">
        <f>"Z0030A6969: [0.00€ ]"</f>
        <v>Z0030A6969: [0.00€ ]</v>
      </c>
      <c r="Q931" t="str">
        <f>""</f>
        <v/>
      </c>
      <c r="R931" t="str">
        <f>""</f>
        <v/>
      </c>
      <c r="S931" t="str">
        <f>""</f>
        <v/>
      </c>
      <c r="T931" t="str">
        <f>"https://portaletrasparenza.consorziobacchiglione.it/dettagli/attodigara/6634/fornitura-mc-14-di-calcestruzzo-rck250-s4-per-lavori-presso-scolo-cornio-di-villatora.html"</f>
        <v>https://portaletrasparenza.consorziobacchiglione.it/dettagli/attodigara/6634/fornitura-mc-14-di-calcestruzzo-rck250-s4-per-lavori-presso-scolo-cornio-di-villatora.html</v>
      </c>
      <c r="U931" t="str">
        <f>"https://portaletrasparenza.consorziobacchiglione.it/download/attodigara/6634/62a2097e98254.PDF"</f>
        <v>https://portaletrasparenza.consorziobacchiglione.it/download/attodigara/6634/62a2097e98254.PDF</v>
      </c>
      <c r="V931">
        <f>(SUBSTITUTE(Tabella1[[#This Row],[Importo di aggiudicazione]],".",","))-(SUBSTITUTE(  SUBSTITUTE(          SUBSTITUTE(Tabella1[[#This Row],[Dettaglio somme liquidate]],Tabella1[[#This Row],[CIG]]&amp;": [",""),"€ ]",""),".",","))</f>
        <v>302.25</v>
      </c>
    </row>
    <row r="932" spans="1:22" x14ac:dyDescent="0.3">
      <c r="A932" t="str">
        <f>"Affidamento"</f>
        <v>Affidamento</v>
      </c>
      <c r="B932" t="str">
        <f>"Manutenzione e riparazione mezzo con targa: PDAH521"</f>
        <v>Manutenzione e riparazione mezzo con targa: PDAH521</v>
      </c>
      <c r="C932" t="str">
        <f>"ZB230AAA0E"</f>
        <v>ZB230AAA0E</v>
      </c>
      <c r="D932" t="str">
        <f>"19/02/2021"</f>
        <v>19/02/2021</v>
      </c>
      <c r="E932" t="str">
        <f>""</f>
        <v/>
      </c>
      <c r="F932" t="str">
        <f>""</f>
        <v/>
      </c>
      <c r="G932" t="str">
        <f>"5547.94"</f>
        <v>5547.94</v>
      </c>
      <c r="H932" t="str">
        <f>"Consorzio di bonifica Bacchiglione"</f>
        <v>Consorzio di bonifica Bacchiglione</v>
      </c>
      <c r="I932" t="str">
        <f>"92223390284"</f>
        <v>92223390284</v>
      </c>
      <c r="J932" t="str">
        <f>"23-AFFIDAMENTO DIRETTO"</f>
        <v>23-AFFIDAMENTO DIRETTO</v>
      </c>
      <c r="K932" t="str">
        <f>"16/02/2021"</f>
        <v>16/02/2021</v>
      </c>
      <c r="L932" t="str">
        <f>"16/03/2021"</f>
        <v>16/03/2021</v>
      </c>
      <c r="M932" t="str">
        <f>""</f>
        <v/>
      </c>
      <c r="N932" t="str">
        <f>"Adriatica Commerciale Macchine s.r.l. Via dell'Artigianato 5 35020 Due Carrare PD"</f>
        <v>Adriatica Commerciale Macchine s.r.l. Via dell'Artigianato 5 35020 Due Carrare PD</v>
      </c>
      <c r="O932" t="str">
        <f>"Adriatica Commerciale Macchine s.r.l. Via dell'Artigianato 5 35020 Due Carrare PD"</f>
        <v>Adriatica Commerciale Macchine s.r.l. Via dell'Artigianato 5 35020 Due Carrare PD</v>
      </c>
      <c r="P932" t="str">
        <f>"ZB230AAA0E: [5547.94€ ]"</f>
        <v>ZB230AAA0E: [5547.94€ ]</v>
      </c>
      <c r="Q932" t="str">
        <f>""</f>
        <v/>
      </c>
      <c r="R932" t="str">
        <f>""</f>
        <v/>
      </c>
      <c r="S932" t="str">
        <f>""</f>
        <v/>
      </c>
      <c r="T932" t="str">
        <f>"https://portaletrasparenza.consorziobacchiglione.it/dettagli/attodigara/6638/manutenzione-e-riparazione-mezzo-con-targa-pdah521.html"</f>
        <v>https://portaletrasparenza.consorziobacchiglione.it/dettagli/attodigara/6638/manutenzione-e-riparazione-mezzo-con-targa-pdah521.html</v>
      </c>
      <c r="U932" t="str">
        <f>"https://portaletrasparenza.consorziobacchiglione.it/download/attodigara/6638/63ac455cbb317.PDF"</f>
        <v>https://portaletrasparenza.consorziobacchiglione.it/download/attodigara/6638/63ac455cbb317.PDF</v>
      </c>
      <c r="V9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33" spans="1:22" x14ac:dyDescent="0.3">
      <c r="A933" t="str">
        <f>"Affidamento"</f>
        <v>Affidamento</v>
      </c>
      <c r="B933" t="str">
        <f>"Noleggio escavatore Takeuchi 175 q.li più vibroinfissore per lavori presso scolo Menona"</f>
        <v>Noleggio escavatore Takeuchi 175 q.li più vibroinfissore per lavori presso scolo Menona</v>
      </c>
      <c r="C933" t="str">
        <f>"ZF630A7CA7"</f>
        <v>ZF630A7CA7</v>
      </c>
      <c r="D933" t="str">
        <f>"23/02/2021"</f>
        <v>23/02/2021</v>
      </c>
      <c r="E933" t="str">
        <f>""</f>
        <v/>
      </c>
      <c r="F933" t="str">
        <f>""</f>
        <v/>
      </c>
      <c r="G933" t="str">
        <f>"8600.00"</f>
        <v>8600.00</v>
      </c>
      <c r="H933" t="str">
        <f>"Consorzio di bonifica Bacchiglione"</f>
        <v>Consorzio di bonifica Bacchiglione</v>
      </c>
      <c r="I933" t="str">
        <f>"92223390284"</f>
        <v>92223390284</v>
      </c>
      <c r="J933" t="str">
        <f>"23-AFFIDAMENTO DIRETTO"</f>
        <v>23-AFFIDAMENTO DIRETTO</v>
      </c>
      <c r="K933" t="str">
        <f>"16/02/2021"</f>
        <v>16/02/2021</v>
      </c>
      <c r="L933" t="str">
        <f>"08/03/2021"</f>
        <v>08/03/2021</v>
      </c>
      <c r="M933" t="str">
        <f>""</f>
        <v/>
      </c>
      <c r="N933" t="str">
        <f>"Sorme s.n.c. Via Monache 21 35030 Selvazzano Dentro PD"</f>
        <v>Sorme s.n.c. Via Monache 21 35030 Selvazzano Dentro PD</v>
      </c>
      <c r="O933" t="str">
        <f>"Sorme s.n.c. Via Monache 21 35030 Selvazzano Dentro PD"</f>
        <v>Sorme s.n.c. Via Monache 21 35030 Selvazzano Dentro PD</v>
      </c>
      <c r="P933" t="str">
        <f>"ZF630A7CA7: [8600.00€ ]"</f>
        <v>ZF630A7CA7: [8600.00€ ]</v>
      </c>
      <c r="Q933" t="str">
        <f>""</f>
        <v/>
      </c>
      <c r="R933" t="str">
        <f>""</f>
        <v/>
      </c>
      <c r="S933" t="str">
        <f>""</f>
        <v/>
      </c>
      <c r="T933" t="str">
        <f>"https://portaletrasparenza.consorziobacchiglione.it/dettagli/attodigara/6635/noleggio-escavatore-takeuchi-175-q-li-piu-vibroinfissore-per-lavori-presso-scolo-menona.html"</f>
        <v>https://portaletrasparenza.consorziobacchiglione.it/dettagli/attodigara/6635/noleggio-escavatore-takeuchi-175-q-li-piu-vibroinfissore-per-lavori-presso-scolo-menona.html</v>
      </c>
      <c r="U933" t="str">
        <f>"https://portaletrasparenza.consorziobacchiglione.it/download/attodigara/6635/63ac455fcd53a.PDF"</f>
        <v>https://portaletrasparenza.consorziobacchiglione.it/download/attodigara/6635/63ac455fcd53a.PDF</v>
      </c>
      <c r="V9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34" spans="1:22" x14ac:dyDescent="0.3">
      <c r="A934" t="str">
        <f>"Affidamento"</f>
        <v>Affidamento</v>
      </c>
      <c r="B934" t="str">
        <f>"Fornitura materiale di ferramenta vario per Bacino Pratiarcati."</f>
        <v>Fornitura materiale di ferramenta vario per Bacino Pratiarcati.</v>
      </c>
      <c r="C934" t="str">
        <f>"ZC919027A0"</f>
        <v>ZC919027A0</v>
      </c>
      <c r="D934" t="str">
        <f>"04/11/2021"</f>
        <v>04/11/2021</v>
      </c>
      <c r="E934" t="str">
        <f>""</f>
        <v/>
      </c>
      <c r="F934" t="str">
        <f>""</f>
        <v/>
      </c>
      <c r="G934" t="str">
        <f>"872.84"</f>
        <v>872.84</v>
      </c>
      <c r="H934" t="str">
        <f>"Consorzio di bonifica Bacchiglione"</f>
        <v>Consorzio di bonifica Bacchiglione</v>
      </c>
      <c r="I934" t="str">
        <f>"92223390284"</f>
        <v>92223390284</v>
      </c>
      <c r="J934" t="str">
        <f>"23-AFFIDAMENTO DIRETTO"</f>
        <v>23-AFFIDAMENTO DIRETTO</v>
      </c>
      <c r="K934" t="str">
        <f>"16/03/2021"</f>
        <v>16/03/2021</v>
      </c>
      <c r="L934" t="str">
        <f>"26/04/2021"</f>
        <v>26/04/2021</v>
      </c>
      <c r="M934" t="str">
        <f>""</f>
        <v/>
      </c>
      <c r="N934" t="str">
        <f>"Erre Emme s.n.c. Via Cavour 27 35020 Casalserugo PD"</f>
        <v>Erre Emme s.n.c. Via Cavour 27 35020 Casalserugo PD</v>
      </c>
      <c r="O934" t="str">
        <f>"Erre Emme s.n.c. Via Cavour 27 35020 Casalserugo PD"</f>
        <v>Erre Emme s.n.c. Via Cavour 27 35020 Casalserugo PD</v>
      </c>
      <c r="P934" t="str">
        <f>"ZC919027A0: [872.84€ ]"</f>
        <v>ZC919027A0: [872.84€ ]</v>
      </c>
      <c r="Q934" t="str">
        <f>""</f>
        <v/>
      </c>
      <c r="R934" t="str">
        <f>""</f>
        <v/>
      </c>
      <c r="S934" t="str">
        <f>""</f>
        <v/>
      </c>
      <c r="T934" t="str">
        <f>"https://portaletrasparenza.consorziobacchiglione.it/dettagli/attodigara/238/fornitura-materiale-di-ferramenta-vario-per-bacino-pratiarcati.html"</f>
        <v>https://portaletrasparenza.consorziobacchiglione.it/dettagli/attodigara/238/fornitura-materiale-di-ferramenta-vario-per-bacino-pratiarcati.html</v>
      </c>
      <c r="U934" t="str">
        <f>""</f>
        <v/>
      </c>
      <c r="V9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35" spans="1:22" x14ac:dyDescent="0.3">
      <c r="A935" t="str">
        <f>"Affidamento"</f>
        <v>Affidamento</v>
      </c>
      <c r="B935" t="str">
        <f>"Fornitura e montaggio vetro laterale DX su mezzo con targa: AJP870"</f>
        <v>Fornitura e montaggio vetro laterale DX su mezzo con targa: AJP870</v>
      </c>
      <c r="C935" t="str">
        <f>"Z9719025EA"</f>
        <v>Z9719025EA</v>
      </c>
      <c r="D935" t="str">
        <f>"04/11/2021"</f>
        <v>04/11/2021</v>
      </c>
      <c r="E935" t="str">
        <f>""</f>
        <v/>
      </c>
      <c r="F935" t="str">
        <f>""</f>
        <v/>
      </c>
      <c r="G935" t="str">
        <f>"1016.02"</f>
        <v>1016.02</v>
      </c>
      <c r="H935" t="str">
        <f>"Consorzio di bonifica Bacchiglione"</f>
        <v>Consorzio di bonifica Bacchiglione</v>
      </c>
      <c r="I935" t="str">
        <f>"92223390284"</f>
        <v>92223390284</v>
      </c>
      <c r="J935" t="str">
        <f>"23-AFFIDAMENTO DIRETTO"</f>
        <v>23-AFFIDAMENTO DIRETTO</v>
      </c>
      <c r="K935" t="str">
        <f>"16/03/2021"</f>
        <v>16/03/2021</v>
      </c>
      <c r="L935" t="str">
        <f>"12/07/2021"</f>
        <v>12/07/2021</v>
      </c>
      <c r="M935" t="str">
        <f>""</f>
        <v/>
      </c>
      <c r="N935" t="str">
        <f>"Adriatica Commerciale Macchine s.r.l. Via dell'Artigianato 5 35020 Due Carrare PD"</f>
        <v>Adriatica Commerciale Macchine s.r.l. Via dell'Artigianato 5 35020 Due Carrare PD</v>
      </c>
      <c r="O935" t="str">
        <f>"Adriatica Commerciale Macchine s.r.l. Via dell'Artigianato 5 35020 Due Carrare PD"</f>
        <v>Adriatica Commerciale Macchine s.r.l. Via dell'Artigianato 5 35020 Due Carrare PD</v>
      </c>
      <c r="P935" t="str">
        <f>"Z9719025EA: [1016.02€ ]"</f>
        <v>Z9719025EA: [1016.02€ ]</v>
      </c>
      <c r="Q935" t="str">
        <f>""</f>
        <v/>
      </c>
      <c r="R935" t="str">
        <f>""</f>
        <v/>
      </c>
      <c r="S935" t="str">
        <f>""</f>
        <v/>
      </c>
      <c r="T935" t="str">
        <f>"https://portaletrasparenza.consorziobacchiglione.it/dettagli/attodigara/237/fornitura-e-montaggio-vetro-laterale-dx-su-mezzo-con-targa-ajp870.html"</f>
        <v>https://portaletrasparenza.consorziobacchiglione.it/dettagli/attodigara/237/fornitura-e-montaggio-vetro-laterale-dx-su-mezzo-con-targa-ajp870.html</v>
      </c>
      <c r="U935" t="str">
        <f>""</f>
        <v/>
      </c>
      <c r="V9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36" spans="1:22" x14ac:dyDescent="0.3">
      <c r="A936" t="str">
        <f>"Affidamento"</f>
        <v>Affidamento</v>
      </c>
      <c r="B936" t="str">
        <f>"Fornitura materiale edile per Idrovora S.Margherita."</f>
        <v>Fornitura materiale edile per Idrovora S.Margherita.</v>
      </c>
      <c r="C936" t="str">
        <f>"Z2F190245B"</f>
        <v>Z2F190245B</v>
      </c>
      <c r="D936" t="str">
        <f>"04/11/2021"</f>
        <v>04/11/2021</v>
      </c>
      <c r="E936" t="str">
        <f>""</f>
        <v/>
      </c>
      <c r="F936" t="str">
        <f>""</f>
        <v/>
      </c>
      <c r="G936" t="str">
        <f>"49.50"</f>
        <v>49.50</v>
      </c>
      <c r="H936" t="str">
        <f>"Consorzio di bonifica Bacchiglione"</f>
        <v>Consorzio di bonifica Bacchiglione</v>
      </c>
      <c r="I936" t="str">
        <f>"92223390284"</f>
        <v>92223390284</v>
      </c>
      <c r="J936" t="str">
        <f>"23-AFFIDAMENTO DIRETTO"</f>
        <v>23-AFFIDAMENTO DIRETTO</v>
      </c>
      <c r="K936" t="str">
        <f>"16/03/2021"</f>
        <v>16/03/2021</v>
      </c>
      <c r="L936" t="str">
        <f>"18/07/2021"</f>
        <v>18/07/2021</v>
      </c>
      <c r="M936" t="str">
        <f>""</f>
        <v/>
      </c>
      <c r="N936" t="str">
        <f>"Idronord s.r.l. Via delle Industrie 3C 30036 Santa Maria Di Sala VE"</f>
        <v>Idronord s.r.l. Via delle Industrie 3C 30036 Santa Maria Di Sala VE</v>
      </c>
      <c r="O936" t="str">
        <f>"Idronord s.r.l. Via delle Industrie 3C 30036 Santa Maria Di Sala VE"</f>
        <v>Idronord s.r.l. Via delle Industrie 3C 30036 Santa Maria Di Sala VE</v>
      </c>
      <c r="P936" t="str">
        <f>"Z2F190245B: [49.50€ ]"</f>
        <v>Z2F190245B: [49.50€ ]</v>
      </c>
      <c r="Q936" t="str">
        <f>""</f>
        <v/>
      </c>
      <c r="R936" t="str">
        <f>""</f>
        <v/>
      </c>
      <c r="S936" t="str">
        <f>""</f>
        <v/>
      </c>
      <c r="T936" t="str">
        <f>"https://portaletrasparenza.consorziobacchiglione.it/dettagli/attodigara/236/fornitura-materiale-edile-per-idrovora-s-margherita.html"</f>
        <v>https://portaletrasparenza.consorziobacchiglione.it/dettagli/attodigara/236/fornitura-materiale-edile-per-idrovora-s-margherita.html</v>
      </c>
      <c r="U936" t="str">
        <f>""</f>
        <v/>
      </c>
      <c r="V9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37" spans="1:22" x14ac:dyDescent="0.3">
      <c r="A937" t="str">
        <f>"Affidamento"</f>
        <v>Affidamento</v>
      </c>
      <c r="B937" t="str">
        <f>"Manutenzione e taratura G.E.dell'Idrovora Cambroso e S.Lazzaro."</f>
        <v>Manutenzione e taratura G.E.dell'Idrovora Cambroso e S.Lazzaro.</v>
      </c>
      <c r="C937" t="str">
        <f>"ZEB1902310"</f>
        <v>ZEB1902310</v>
      </c>
      <c r="D937" t="str">
        <f>"04/11/2021"</f>
        <v>04/11/2021</v>
      </c>
      <c r="E937" t="str">
        <f>""</f>
        <v/>
      </c>
      <c r="F937" t="str">
        <f>""</f>
        <v/>
      </c>
      <c r="G937" t="str">
        <f>"1900.00"</f>
        <v>1900.00</v>
      </c>
      <c r="H937" t="str">
        <f>"Consorzio di bonifica Bacchiglione"</f>
        <v>Consorzio di bonifica Bacchiglione</v>
      </c>
      <c r="I937" t="str">
        <f>"92223390284"</f>
        <v>92223390284</v>
      </c>
      <c r="J937" t="str">
        <f>"23-AFFIDAMENTO DIRETTO"</f>
        <v>23-AFFIDAMENTO DIRETTO</v>
      </c>
      <c r="K937" t="str">
        <f>"16/03/2021"</f>
        <v>16/03/2021</v>
      </c>
      <c r="L937" t="str">
        <f>"18/05/2021"</f>
        <v>18/05/2021</v>
      </c>
      <c r="M937" t="str">
        <f>""</f>
        <v/>
      </c>
      <c r="N937" t="str">
        <f>"Officina Biesse S.n.c. Via Matteotti 24 35020 Arzergrande PD"</f>
        <v>Officina Biesse S.n.c. Via Matteotti 24 35020 Arzergrande PD</v>
      </c>
      <c r="O937" t="str">
        <f>"Officina Biesse S.n.c. Via Matteotti 24 35020 Arzergrande PD"</f>
        <v>Officina Biesse S.n.c. Via Matteotti 24 35020 Arzergrande PD</v>
      </c>
      <c r="P937" t="str">
        <f>"ZEB1902310: [1900.00€ ]"</f>
        <v>ZEB1902310: [1900.00€ ]</v>
      </c>
      <c r="Q937" t="str">
        <f>""</f>
        <v/>
      </c>
      <c r="R937" t="str">
        <f>""</f>
        <v/>
      </c>
      <c r="S937" t="str">
        <f>""</f>
        <v/>
      </c>
      <c r="T937" t="str">
        <f>"https://portaletrasparenza.consorziobacchiglione.it/dettagli/attodigara/235/manutenzione-e-taratura-g-e-dell-idrovora-cambroso-e-s-lazzaro.html"</f>
        <v>https://portaletrasparenza.consorziobacchiglione.it/dettagli/attodigara/235/manutenzione-e-taratura-g-e-dell-idrovora-cambroso-e-s-lazzaro.html</v>
      </c>
      <c r="U937" t="str">
        <f>""</f>
        <v/>
      </c>
      <c r="V93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38" spans="1:22" x14ac:dyDescent="0.3">
      <c r="A938" t="str">
        <f>"Affidamento"</f>
        <v>Affidamento</v>
      </c>
      <c r="B938" t="str">
        <f>"LAVORI DI SOMMA URGENZA PER LA SOSTITUZIONE DELLA ELETTROPOMPA SOMMERGIBILE N. 6 DELL IMPIANTO IDROVORO DI CAMBROSO DI CODEVIGO (PD) GRAVEMENTE DANNEGGIATA DAGLI EVENTI ATMOSFERICI DEL GIORNO 27 FEBBRAIO 2016 - PRESA D ATTO DEL VERBALE DI AFFIDA"</f>
        <v>LAVORI DI SOMMA URGENZA PER LA SOSTITUZIONE DELLA ELETTROPOMPA SOMMERGIBILE N. 6 DELL IMPIANTO IDROVORO DI CAMBROSO DI CODEVIGO (PD) GRAVEMENTE DANNEGGIATA DAGLI EVENTI ATMOSFERICI DEL GIORNO 27 FEBBRAIO 2016 - PRESA D ATTO DEL VERBALE DI AFFIDA</v>
      </c>
      <c r="C938" t="str">
        <f>"66291725CA"</f>
        <v>66291725CA</v>
      </c>
      <c r="D938" t="str">
        <f>"04/11/2021"</f>
        <v>04/11/2021</v>
      </c>
      <c r="E938" t="str">
        <f>""</f>
        <v/>
      </c>
      <c r="F938" t="str">
        <f>""</f>
        <v/>
      </c>
      <c r="G938" t="str">
        <f>"69210.50"</f>
        <v>69210.50</v>
      </c>
      <c r="H938" t="str">
        <f>"Consorzio di bonifica Bacchiglione"</f>
        <v>Consorzio di bonifica Bacchiglione</v>
      </c>
      <c r="I938" t="str">
        <f>"92223390284"</f>
        <v>92223390284</v>
      </c>
      <c r="J938" t="str">
        <f>"23-AFFIDAMENTO DIRETTO"</f>
        <v>23-AFFIDAMENTO DIRETTO</v>
      </c>
      <c r="K938" t="str">
        <f>"16/03/2021"</f>
        <v>16/03/2021</v>
      </c>
      <c r="L938" t="str">
        <f>"29/06/2021"</f>
        <v>29/06/2021</v>
      </c>
      <c r="M938" t="str">
        <f>""</f>
        <v/>
      </c>
      <c r="N938" t="str">
        <f>"Xylem Water Solutions Italia S.r.l. - Filiale di Service Padova"</f>
        <v>Xylem Water Solutions Italia S.r.l. - Filiale di Service Padova</v>
      </c>
      <c r="O938" t="str">
        <f>"Xylem Water Solutions Italia S.r.l. - Filiale di Service Padova"</f>
        <v>Xylem Water Solutions Italia S.r.l. - Filiale di Service Padova</v>
      </c>
      <c r="P938" t="str">
        <f>"66291725CA: [69210.50€ ]"</f>
        <v>66291725CA: [69210.50€ ]</v>
      </c>
      <c r="Q938" t="str">
        <f>""</f>
        <v/>
      </c>
      <c r="R938" t="str">
        <f>""</f>
        <v/>
      </c>
      <c r="S938" t="str">
        <f>""</f>
        <v/>
      </c>
      <c r="T938" t="s">
        <v>71</v>
      </c>
      <c r="U938" t="str">
        <f>""</f>
        <v/>
      </c>
      <c r="V93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39" spans="1:22" x14ac:dyDescent="0.3">
      <c r="A939" t="str">
        <f>"Affidamento"</f>
        <v>Affidamento</v>
      </c>
      <c r="B939" t="str">
        <f>"Fornitura pali in Castagno con punta lunghi MT. 2 e MT 2,5 per Bacino Sesta Presa, Pratiarcati e Montà Portello"</f>
        <v>Fornitura pali in Castagno con punta lunghi MT. 2 e MT 2,5 per Bacino Sesta Presa, Pratiarcati e Montà Portello</v>
      </c>
      <c r="C939" t="str">
        <f>"ZC73106B7A"</f>
        <v>ZC73106B7A</v>
      </c>
      <c r="D939" t="str">
        <f>"16/03/2021"</f>
        <v>16/03/2021</v>
      </c>
      <c r="E939" t="str">
        <f>""</f>
        <v/>
      </c>
      <c r="F939" t="str">
        <f>""</f>
        <v/>
      </c>
      <c r="G939" t="str">
        <f>"2544.50"</f>
        <v>2544.50</v>
      </c>
      <c r="H939" t="str">
        <f>"Consorzio di bonifica Bacchiglione"</f>
        <v>Consorzio di bonifica Bacchiglione</v>
      </c>
      <c r="I939" t="str">
        <f>"92223390284"</f>
        <v>92223390284</v>
      </c>
      <c r="J939" t="str">
        <f>"23-AFFIDAMENTO DIRETTO"</f>
        <v>23-AFFIDAMENTO DIRETTO</v>
      </c>
      <c r="K939" t="str">
        <f>"16/03/2021"</f>
        <v>16/03/2021</v>
      </c>
      <c r="L939" t="str">
        <f>"24/03/2021"</f>
        <v>24/03/2021</v>
      </c>
      <c r="M939" t="str">
        <f>""</f>
        <v/>
      </c>
      <c r="N939" t="str">
        <f>"Rinaldi Combustibili s.n.c. Via Repoise 2 35030 Cervarese Santa Croce PD"</f>
        <v>Rinaldi Combustibili s.n.c. Via Repoise 2 35030 Cervarese Santa Croce PD</v>
      </c>
      <c r="O939" t="str">
        <f>"Rinaldi Combustibili s.n.c. Via Repoise 2 35030 Cervarese Santa Croce PD"</f>
        <v>Rinaldi Combustibili s.n.c. Via Repoise 2 35030 Cervarese Santa Croce PD</v>
      </c>
      <c r="P939" t="str">
        <f>"ZC73106B7A: [2544.50€ ]"</f>
        <v>ZC73106B7A: [2544.50€ ]</v>
      </c>
      <c r="Q939" t="str">
        <f>""</f>
        <v/>
      </c>
      <c r="R939" t="str">
        <f>""</f>
        <v/>
      </c>
      <c r="S939" t="str">
        <f>""</f>
        <v/>
      </c>
      <c r="T939" t="str">
        <f>"https://portaletrasparenza.consorziobacchiglione.it/dettagli/attodigara/6707/fornitura-pali-in-castagno-con-punta-lunghi-mt-2-e-mt-2-5-per-bacino-sesta-presa-pratiarcati-e-monta-portello.html"</f>
        <v>https://portaletrasparenza.consorziobacchiglione.it/dettagli/attodigara/6707/fornitura-pali-in-castagno-con-punta-lunghi-mt-2-e-mt-2-5-per-bacino-sesta-presa-pratiarcati-e-monta-portello.html</v>
      </c>
      <c r="U939" t="str">
        <f>"https://portaletrasparenza.consorziobacchiglione.it/download/attodigara/6707/63ac456c9a28c.PDF"</f>
        <v>https://portaletrasparenza.consorziobacchiglione.it/download/attodigara/6707/63ac456c9a28c.PDF</v>
      </c>
      <c r="V9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40" spans="1:22" x14ac:dyDescent="0.3">
      <c r="A940" t="str">
        <f>"Affidamento"</f>
        <v>Affidamento</v>
      </c>
      <c r="B940" t="str">
        <f>"Sostituzione cristallo anteriore su mezzo targato : GD523DZ"</f>
        <v>Sostituzione cristallo anteriore su mezzo targato : GD523DZ</v>
      </c>
      <c r="C940" t="str">
        <f>"Z2C3105A36"</f>
        <v>Z2C3105A36</v>
      </c>
      <c r="D940" t="str">
        <f>"16/03/2021"</f>
        <v>16/03/2021</v>
      </c>
      <c r="E940" t="str">
        <f>""</f>
        <v/>
      </c>
      <c r="F940" t="str">
        <f>""</f>
        <v/>
      </c>
      <c r="G940" t="str">
        <f>"313.91"</f>
        <v>313.91</v>
      </c>
      <c r="H940" t="str">
        <f>"Consorzio di bonifica Bacchiglione"</f>
        <v>Consorzio di bonifica Bacchiglione</v>
      </c>
      <c r="I940" t="str">
        <f>"92223390284"</f>
        <v>92223390284</v>
      </c>
      <c r="J940" t="str">
        <f>"23-AFFIDAMENTO DIRETTO"</f>
        <v>23-AFFIDAMENTO DIRETTO</v>
      </c>
      <c r="K940" t="str">
        <f>"16/03/2021"</f>
        <v>16/03/2021</v>
      </c>
      <c r="L940" t="str">
        <f>"18/03/2021"</f>
        <v>18/03/2021</v>
      </c>
      <c r="M940" t="str">
        <f>""</f>
        <v/>
      </c>
      <c r="N940" t="str">
        <f>"Carrozzeria Biasion S.N.C. Via Bassa 45 35020 Arzergrande PD"</f>
        <v>Carrozzeria Biasion S.N.C. Via Bassa 45 35020 Arzergrande PD</v>
      </c>
      <c r="O940" t="str">
        <f>"Carrozzeria Biasion S.N.C. Via Bassa 45 35020 Arzergrande PD"</f>
        <v>Carrozzeria Biasion S.N.C. Via Bassa 45 35020 Arzergrande PD</v>
      </c>
      <c r="P940" t="str">
        <f>"Z2C3105A36: [313.91€ ]"</f>
        <v>Z2C3105A36: [313.91€ ]</v>
      </c>
      <c r="Q940" t="str">
        <f>""</f>
        <v/>
      </c>
      <c r="R940" t="str">
        <f>""</f>
        <v/>
      </c>
      <c r="S940" t="str">
        <f>""</f>
        <v/>
      </c>
      <c r="T940" t="str">
        <f>"https://portaletrasparenza.consorziobacchiglione.it/dettagli/attodigara/6706/sostituzione-cristallo-anteriore-su-mezzo-targato-gd523dz.html"</f>
        <v>https://portaletrasparenza.consorziobacchiglione.it/dettagli/attodigara/6706/sostituzione-cristallo-anteriore-su-mezzo-targato-gd523dz.html</v>
      </c>
      <c r="U940" t="str">
        <f>"https://portaletrasparenza.consorziobacchiglione.it/download/attodigara/6706/63ac456c61c25.PDF"</f>
        <v>https://portaletrasparenza.consorziobacchiglione.it/download/attodigara/6706/63ac456c61c25.PDF</v>
      </c>
      <c r="V9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41" spans="1:22" x14ac:dyDescent="0.3">
      <c r="A941" t="str">
        <f>"Affidamento"</f>
        <v>Affidamento</v>
      </c>
      <c r="B941" t="str">
        <f>"Lavoro di raddrizzatura e verniciatura parafango SX e porta posteriore DX su mezzo targato: GD523DZ"</f>
        <v>Lavoro di raddrizzatura e verniciatura parafango SX e porta posteriore DX su mezzo targato: GD523DZ</v>
      </c>
      <c r="C941" t="str">
        <f>"ZE53105721"</f>
        <v>ZE53105721</v>
      </c>
      <c r="D941" t="str">
        <f>"16/03/2021"</f>
        <v>16/03/2021</v>
      </c>
      <c r="E941" t="str">
        <f>""</f>
        <v/>
      </c>
      <c r="F941" t="str">
        <f>""</f>
        <v/>
      </c>
      <c r="G941" t="str">
        <f>"250.00"</f>
        <v>250.00</v>
      </c>
      <c r="H941" t="str">
        <f>"Consorzio di bonifica Bacchiglione"</f>
        <v>Consorzio di bonifica Bacchiglione</v>
      </c>
      <c r="I941" t="str">
        <f>"92223390284"</f>
        <v>92223390284</v>
      </c>
      <c r="J941" t="str">
        <f>"23-AFFIDAMENTO DIRETTO"</f>
        <v>23-AFFIDAMENTO DIRETTO</v>
      </c>
      <c r="K941" t="str">
        <f>"16/03/2021"</f>
        <v>16/03/2021</v>
      </c>
      <c r="L941" t="str">
        <f>"18/03/2021"</f>
        <v>18/03/2021</v>
      </c>
      <c r="M941" t="str">
        <f>""</f>
        <v/>
      </c>
      <c r="N941" t="str">
        <f>"Carrozzeria Biasion S.N.C. Via Bassa 45 35020 Arzergrande PD"</f>
        <v>Carrozzeria Biasion S.N.C. Via Bassa 45 35020 Arzergrande PD</v>
      </c>
      <c r="O941" t="str">
        <f>"Carrozzeria Biasion S.N.C. Via Bassa 45 35020 Arzergrande PD"</f>
        <v>Carrozzeria Biasion S.N.C. Via Bassa 45 35020 Arzergrande PD</v>
      </c>
      <c r="P941" t="str">
        <f>"ZE53105721: [250.00€ ]"</f>
        <v>ZE53105721: [250.00€ ]</v>
      </c>
      <c r="Q941" t="str">
        <f>""</f>
        <v/>
      </c>
      <c r="R941" t="str">
        <f>""</f>
        <v/>
      </c>
      <c r="S941" t="str">
        <f>""</f>
        <v/>
      </c>
      <c r="T941" t="str">
        <f>"https://portaletrasparenza.consorziobacchiglione.it/dettagli/attodigara/6705/lavoro-di-raddrizzatura-e-verniciatura-parafango-sx-e-porta-posteriore-dx-su-mezzo-targato-gd523dz.html"</f>
        <v>https://portaletrasparenza.consorziobacchiglione.it/dettagli/attodigara/6705/lavoro-di-raddrizzatura-e-verniciatura-parafango-sx-e-porta-posteriore-dx-su-mezzo-targato-gd523dz.html</v>
      </c>
      <c r="U941" t="str">
        <f>"https://portaletrasparenza.consorziobacchiglione.it/download/attodigara/6705/63ac456c2954c.PDF"</f>
        <v>https://portaletrasparenza.consorziobacchiglione.it/download/attodigara/6705/63ac456c2954c.PDF</v>
      </c>
      <c r="V94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42" spans="1:22" x14ac:dyDescent="0.3">
      <c r="A942" t="str">
        <f>"Affidamento"</f>
        <v>Affidamento</v>
      </c>
      <c r="B942" t="str">
        <f>"Sostituzione serratura su mezzo targato: AJ206BM"</f>
        <v>Sostituzione serratura su mezzo targato: AJ206BM</v>
      </c>
      <c r="C942" t="str">
        <f>"ZA8310536F"</f>
        <v>ZA8310536F</v>
      </c>
      <c r="D942" t="str">
        <f>"16/03/2021"</f>
        <v>16/03/2021</v>
      </c>
      <c r="E942" t="str">
        <f>""</f>
        <v/>
      </c>
      <c r="F942" t="str">
        <f>""</f>
        <v/>
      </c>
      <c r="G942" t="str">
        <f>"200.00"</f>
        <v>200.00</v>
      </c>
      <c r="H942" t="str">
        <f>"Consorzio di bonifica Bacchiglione"</f>
        <v>Consorzio di bonifica Bacchiglione</v>
      </c>
      <c r="I942" t="str">
        <f>"92223390284"</f>
        <v>92223390284</v>
      </c>
      <c r="J942" t="str">
        <f>"23-AFFIDAMENTO DIRETTO"</f>
        <v>23-AFFIDAMENTO DIRETTO</v>
      </c>
      <c r="K942" t="str">
        <f>"16/03/2021"</f>
        <v>16/03/2021</v>
      </c>
      <c r="L942" t="str">
        <f>"18/03/2021"</f>
        <v>18/03/2021</v>
      </c>
      <c r="M942" t="str">
        <f>""</f>
        <v/>
      </c>
      <c r="N942" t="str">
        <f>"Carrozzeria Biasion S.N.C. Via Bassa 45 35020 Arzergrande PD"</f>
        <v>Carrozzeria Biasion S.N.C. Via Bassa 45 35020 Arzergrande PD</v>
      </c>
      <c r="O942" t="str">
        <f>"Carrozzeria Biasion S.N.C. Via Bassa 45 35020 Arzergrande PD"</f>
        <v>Carrozzeria Biasion S.N.C. Via Bassa 45 35020 Arzergrande PD</v>
      </c>
      <c r="P942" t="str">
        <f>"ZA8310536F: [200.00€ ]"</f>
        <v>ZA8310536F: [200.00€ ]</v>
      </c>
      <c r="Q942" t="str">
        <f>""</f>
        <v/>
      </c>
      <c r="R942" t="str">
        <f>""</f>
        <v/>
      </c>
      <c r="S942" t="str">
        <f>""</f>
        <v/>
      </c>
      <c r="T942" t="str">
        <f>"https://portaletrasparenza.consorziobacchiglione.it/dettagli/attodigara/6704/sostituzione-serratura-su-mezzo-targato-aj206bm.html"</f>
        <v>https://portaletrasparenza.consorziobacchiglione.it/dettagli/attodigara/6704/sostituzione-serratura-su-mezzo-targato-aj206bm.html</v>
      </c>
      <c r="U942" t="str">
        <f>"https://portaletrasparenza.consorziobacchiglione.it/download/attodigara/6704/63ac456be52db.PDF"</f>
        <v>https://portaletrasparenza.consorziobacchiglione.it/download/attodigara/6704/63ac456be52db.PDF</v>
      </c>
      <c r="V9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43" spans="1:22" x14ac:dyDescent="0.3">
      <c r="A943" t="str">
        <f>"Affidamento"</f>
        <v>Affidamento</v>
      </c>
      <c r="B943" t="str">
        <f>"Noleggio Trasportatore cingolato Yanmar C50-R3 per lavori presso scolo Brentella"</f>
        <v>Noleggio Trasportatore cingolato Yanmar C50-R3 per lavori presso scolo Brentella</v>
      </c>
      <c r="C943" t="str">
        <f>"Z1B3104AD8"</f>
        <v>Z1B3104AD8</v>
      </c>
      <c r="D943" t="str">
        <f>"16/03/2021"</f>
        <v>16/03/2021</v>
      </c>
      <c r="E943" t="str">
        <f>""</f>
        <v/>
      </c>
      <c r="F943" t="str">
        <f>""</f>
        <v/>
      </c>
      <c r="G943" t="str">
        <f>"3660.00"</f>
        <v>3660.00</v>
      </c>
      <c r="H943" t="str">
        <f>"Consorzio di bonifica Bacchiglione"</f>
        <v>Consorzio di bonifica Bacchiglione</v>
      </c>
      <c r="I943" t="str">
        <f>"92223390284"</f>
        <v>92223390284</v>
      </c>
      <c r="J943" t="str">
        <f>"23-AFFIDAMENTO DIRETTO"</f>
        <v>23-AFFIDAMENTO DIRETTO</v>
      </c>
      <c r="K943" t="str">
        <f>"16/03/2021"</f>
        <v>16/03/2021</v>
      </c>
      <c r="L943" t="str">
        <f>"23/04/2021"</f>
        <v>23/04/2021</v>
      </c>
      <c r="M943" t="str">
        <f>""</f>
        <v/>
      </c>
      <c r="N943" t="str">
        <f>"Cofiloc SPA Via Postumia ovest 101 loc.Olmi 3148 S.Biagio di Callalta TV"</f>
        <v>Cofiloc SPA Via Postumia ovest 101 loc.Olmi 3148 S.Biagio di Callalta TV</v>
      </c>
      <c r="O943" t="str">
        <f>"Cofiloc SPA Via Postumia ovest 101 loc.Olmi 3148 S.Biagio di Callalta TV"</f>
        <v>Cofiloc SPA Via Postumia ovest 101 loc.Olmi 3148 S.Biagio di Callalta TV</v>
      </c>
      <c r="P943" t="str">
        <f>"Z1B3104AD8: [3570.50€ ]"</f>
        <v>Z1B3104AD8: [3570.50€ ]</v>
      </c>
      <c r="Q943" t="str">
        <f>""</f>
        <v/>
      </c>
      <c r="R943" t="str">
        <f>""</f>
        <v/>
      </c>
      <c r="S943" t="str">
        <f>""</f>
        <v/>
      </c>
      <c r="T943" t="str">
        <f>"https://portaletrasparenza.consorziobacchiglione.it/dettagli/attodigara/6703/noleggio-trasportatore-cingolato-yanmar-c50-r3-per-lavori-presso-scolo-brentella.html"</f>
        <v>https://portaletrasparenza.consorziobacchiglione.it/dettagli/attodigara/6703/noleggio-trasportatore-cingolato-yanmar-c50-r3-per-lavori-presso-scolo-brentella.html</v>
      </c>
      <c r="U943" t="str">
        <f>"https://portaletrasparenza.consorziobacchiglione.it/download/attodigara/6703/63ac456bacce6.PDF"</f>
        <v>https://portaletrasparenza.consorziobacchiglione.it/download/attodigara/6703/63ac456bacce6.PDF</v>
      </c>
      <c r="V943">
        <f>(SUBSTITUTE(Tabella1[[#This Row],[Importo di aggiudicazione]],".",","))-(SUBSTITUTE(  SUBSTITUTE(          SUBSTITUTE(Tabella1[[#This Row],[Dettaglio somme liquidate]],Tabella1[[#This Row],[CIG]]&amp;": [",""),"€ ]",""),".",","))</f>
        <v>89.5</v>
      </c>
    </row>
    <row r="944" spans="1:22" x14ac:dyDescent="0.3">
      <c r="A944" t="str">
        <f>"Affidamento"</f>
        <v>Affidamento</v>
      </c>
      <c r="B944" t="str">
        <f>"Ulteriori lavorazioni necessari per la realizzazione del pozzetto terminale \'F\'. - Processo ID 007-03."</f>
        <v>Ulteriori lavorazioni necessari per la realizzazione del pozzetto terminale \'F\'. - Processo ID 007-03.</v>
      </c>
      <c r="C944" t="str">
        <f>"Z8319780E8"</f>
        <v>Z8319780E8</v>
      </c>
      <c r="D944" t="str">
        <f>"04/11/2021"</f>
        <v>04/11/2021</v>
      </c>
      <c r="E944" t="str">
        <f>""</f>
        <v/>
      </c>
      <c r="F944" t="str">
        <f>""</f>
        <v/>
      </c>
      <c r="G944" t="str">
        <f>"5424.40"</f>
        <v>5424.40</v>
      </c>
      <c r="H944" t="str">
        <f>"Consorzio di bonifica Bacchiglione"</f>
        <v>Consorzio di bonifica Bacchiglione</v>
      </c>
      <c r="I944" t="str">
        <f>"92223390284"</f>
        <v>92223390284</v>
      </c>
      <c r="J944" t="str">
        <f>"23-AFFIDAMENTO DIRETTO"</f>
        <v>23-AFFIDAMENTO DIRETTO</v>
      </c>
      <c r="K944" t="str">
        <f>"16/04/2021"</f>
        <v>16/04/2021</v>
      </c>
      <c r="L944" t="str">
        <f>"25/07/2021"</f>
        <v>25/07/2021</v>
      </c>
      <c r="M944" t="str">
        <f>""</f>
        <v/>
      </c>
      <c r="N944" t="str">
        <f>"Edilizia Tomasello snc Costuzioni Edili Generali"</f>
        <v>Edilizia Tomasello snc Costuzioni Edili Generali</v>
      </c>
      <c r="O944" t="str">
        <f>"Edilizia Tomasello snc Costuzioni Edili Generali"</f>
        <v>Edilizia Tomasello snc Costuzioni Edili Generali</v>
      </c>
      <c r="P944" t="str">
        <f>"Z8319780E8: [5424.40€ ]"</f>
        <v>Z8319780E8: [5424.40€ ]</v>
      </c>
      <c r="Q944" t="str">
        <f>""</f>
        <v/>
      </c>
      <c r="R944" t="str">
        <f>""</f>
        <v/>
      </c>
      <c r="S944" t="str">
        <f>""</f>
        <v/>
      </c>
      <c r="T944" t="str">
        <f>"https://portaletrasparenza.consorziobacchiglione.it/dettagli/attodigara/329/ulteriori-lavorazioni-necessari-per-la-realizzazione-del-pozzetto-terminale-f-processo-id-007-03.html"</f>
        <v>https://portaletrasparenza.consorziobacchiglione.it/dettagli/attodigara/329/ulteriori-lavorazioni-necessari-per-la-realizzazione-del-pozzetto-terminale-f-processo-id-007-03.html</v>
      </c>
      <c r="U944" t="str">
        <f>""</f>
        <v/>
      </c>
      <c r="V94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45" spans="1:22" x14ac:dyDescent="0.3">
      <c r="A945" t="str">
        <f>"Affidamento"</f>
        <v>Affidamento</v>
      </c>
      <c r="B945" t="str">
        <f>"Fornitura ricambi vari per motobarche Nettuno"</f>
        <v>Fornitura ricambi vari per motobarche Nettuno</v>
      </c>
      <c r="C945" t="str">
        <f>"ZD13163E86"</f>
        <v>ZD13163E86</v>
      </c>
      <c r="D945" t="str">
        <f>"19/04/2021"</f>
        <v>19/04/2021</v>
      </c>
      <c r="E945" t="str">
        <f>""</f>
        <v/>
      </c>
      <c r="F945" t="str">
        <f>""</f>
        <v/>
      </c>
      <c r="G945" t="str">
        <f>"2415.00"</f>
        <v>2415.00</v>
      </c>
      <c r="H945" t="str">
        <f>"Consorzio di bonifica Bacchiglione"</f>
        <v>Consorzio di bonifica Bacchiglione</v>
      </c>
      <c r="I945" t="str">
        <f>"92223390284"</f>
        <v>92223390284</v>
      </c>
      <c r="J945" t="str">
        <f>"23-AFFIDAMENTO DIRETTO"</f>
        <v>23-AFFIDAMENTO DIRETTO</v>
      </c>
      <c r="K945" t="str">
        <f>"16/04/2021"</f>
        <v>16/04/2021</v>
      </c>
      <c r="L945" t="str">
        <f>"31/05/2021"</f>
        <v>31/05/2021</v>
      </c>
      <c r="M945" t="str">
        <f>""</f>
        <v/>
      </c>
      <c r="N945" t="str">
        <f>"Nettuno Motobarche di Delledonne Dario Via R.Passerini 11 26845 Codogno LO"</f>
        <v>Nettuno Motobarche di Delledonne Dario Via R.Passerini 11 26845 Codogno LO</v>
      </c>
      <c r="O945" t="str">
        <f>"Nettuno Motobarche di Delledonne Dario Via R.Passerini 11 26845 Codogno LO"</f>
        <v>Nettuno Motobarche di Delledonne Dario Via R.Passerini 11 26845 Codogno LO</v>
      </c>
      <c r="P945" t="str">
        <f>"ZD13163E86: [2415.00€ ]"</f>
        <v>ZD13163E86: [2415.00€ ]</v>
      </c>
      <c r="Q945" t="str">
        <f>""</f>
        <v/>
      </c>
      <c r="R945" t="str">
        <f>""</f>
        <v/>
      </c>
      <c r="S945" t="str">
        <f>""</f>
        <v/>
      </c>
      <c r="T945" t="str">
        <f>"https://portaletrasparenza.consorziobacchiglione.it/dettagli/attodigara/6813/fornitura-ricambi-vari-per-motobarche-nettuno.html"</f>
        <v>https://portaletrasparenza.consorziobacchiglione.it/dettagli/attodigara/6813/fornitura-ricambi-vari-per-motobarche-nettuno.html</v>
      </c>
      <c r="U945" t="str">
        <f>"https://portaletrasparenza.consorziobacchiglione.it/download/attodigara/6813/63ac4580d21f9.PDF"</f>
        <v>https://portaletrasparenza.consorziobacchiglione.it/download/attodigara/6813/63ac4580d21f9.PDF</v>
      </c>
      <c r="V94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46" spans="1:22" x14ac:dyDescent="0.3">
      <c r="A946" t="str">
        <f>"Affidamento"</f>
        <v>Affidamento</v>
      </c>
      <c r="B946" t="str">
        <f>"Manutenzione G.E presso Idrovora Maestro"</f>
        <v>Manutenzione G.E presso Idrovora Maestro</v>
      </c>
      <c r="C946" t="str">
        <f>"Z3F3163882"</f>
        <v>Z3F3163882</v>
      </c>
      <c r="D946" t="str">
        <f>"19/04/2021"</f>
        <v>19/04/2021</v>
      </c>
      <c r="E946" t="str">
        <f>""</f>
        <v/>
      </c>
      <c r="F946" t="str">
        <f>""</f>
        <v/>
      </c>
      <c r="G946" t="str">
        <f>"8500.00"</f>
        <v>8500.00</v>
      </c>
      <c r="H946" t="str">
        <f>"Consorzio di bonifica Bacchiglione"</f>
        <v>Consorzio di bonifica Bacchiglione</v>
      </c>
      <c r="I946" t="str">
        <f>"92223390284"</f>
        <v>92223390284</v>
      </c>
      <c r="J946" t="str">
        <f>"23-AFFIDAMENTO DIRETTO"</f>
        <v>23-AFFIDAMENTO DIRETTO</v>
      </c>
      <c r="K946" t="str">
        <f>"16/04/2021"</f>
        <v>16/04/2021</v>
      </c>
      <c r="L946" t="str">
        <f>"26/07/2021"</f>
        <v>26/07/2021</v>
      </c>
      <c r="M946" t="str">
        <f>""</f>
        <v/>
      </c>
      <c r="N946" t="str">
        <f>"Italmotori S.r.l. Corso Milano 83 35139 Padova"</f>
        <v>Italmotori S.r.l. Corso Milano 83 35139 Padova</v>
      </c>
      <c r="O946" t="str">
        <f>"Italmotori S.r.l. Corso Milano 83 35139 Padova"</f>
        <v>Italmotori S.r.l. Corso Milano 83 35139 Padova</v>
      </c>
      <c r="P946" t="str">
        <f>"Z3F3163882: [8500.00€ ]"</f>
        <v>Z3F3163882: [8500.00€ ]</v>
      </c>
      <c r="Q946" t="str">
        <f>""</f>
        <v/>
      </c>
      <c r="R946" t="str">
        <f>""</f>
        <v/>
      </c>
      <c r="S946" t="str">
        <f>""</f>
        <v/>
      </c>
      <c r="T946" t="str">
        <f>"https://portaletrasparenza.consorziobacchiglione.it/dettagli/attodigara/6811/manutenzione-g-e-presso-idrovora-maestro.html"</f>
        <v>https://portaletrasparenza.consorziobacchiglione.it/dettagli/attodigara/6811/manutenzione-g-e-presso-idrovora-maestro.html</v>
      </c>
      <c r="U946" t="str">
        <f>"https://portaletrasparenza.consorziobacchiglione.it/download/attodigara/6811/63ac458099a0a.PDF"</f>
        <v>https://portaletrasparenza.consorziobacchiglione.it/download/attodigara/6811/63ac458099a0a.PDF</v>
      </c>
      <c r="V9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47" spans="1:22" x14ac:dyDescent="0.3">
      <c r="A947" t="str">
        <f>"Affidamento"</f>
        <v>Affidamento</v>
      </c>
      <c r="B947" t="str">
        <f>"Fornitura MC 1,50 di calcestruzzo RCK 300 S4 per lavori presso scolo Cornio di Celeseo"</f>
        <v>Fornitura MC 1,50 di calcestruzzo RCK 300 S4 per lavori presso scolo Cornio di Celeseo</v>
      </c>
      <c r="C947" t="str">
        <f>"Z243163CFF"</f>
        <v>Z243163CFF</v>
      </c>
      <c r="D947" t="str">
        <f>"19/04/2021"</f>
        <v>19/04/2021</v>
      </c>
      <c r="E947" t="str">
        <f>""</f>
        <v/>
      </c>
      <c r="F947" t="str">
        <f>""</f>
        <v/>
      </c>
      <c r="G947" t="str">
        <f>"139.00"</f>
        <v>139.00</v>
      </c>
      <c r="H947" t="str">
        <f>"Consorzio di bonifica Bacchiglione"</f>
        <v>Consorzio di bonifica Bacchiglione</v>
      </c>
      <c r="I947" t="str">
        <f>"92223390284"</f>
        <v>92223390284</v>
      </c>
      <c r="J947" t="str">
        <f>"23-AFFIDAMENTO DIRETTO"</f>
        <v>23-AFFIDAMENTO DIRETTO</v>
      </c>
      <c r="K947" t="str">
        <f>"16/04/2021"</f>
        <v>16/04/2021</v>
      </c>
      <c r="L947" t="str">
        <f>"19/04/2021"</f>
        <v>19/04/2021</v>
      </c>
      <c r="M947" t="str">
        <f>""</f>
        <v/>
      </c>
      <c r="N947" t="str">
        <f>"Zagolin Giovanni s.r.l. Via Gelsi 56 35028 Piove di Sacco PD"</f>
        <v>Zagolin Giovanni s.r.l. Via Gelsi 56 35028 Piove di Sacco PD</v>
      </c>
      <c r="O947" t="str">
        <f>"Zagolin Giovanni s.r.l. Via Gelsi 56 35028 Piove di Sacco PD"</f>
        <v>Zagolin Giovanni s.r.l. Via Gelsi 56 35028 Piove di Sacco PD</v>
      </c>
      <c r="P947" t="str">
        <f>"Z243163CFF: [0.00€ ]"</f>
        <v>Z243163CFF: [0.00€ ]</v>
      </c>
      <c r="Q947" t="str">
        <f>""</f>
        <v/>
      </c>
      <c r="R947" t="str">
        <f>""</f>
        <v/>
      </c>
      <c r="S947" t="str">
        <f>""</f>
        <v/>
      </c>
      <c r="T947" t="str">
        <f>"https://portaletrasparenza.consorziobacchiglione.it/dettagli/attodigara/6812/fornitura-mc-1-50-di-calcestruzzo-rck-300-s4-per-lavori-presso-scolo-cornio-di-celeseo.html"</f>
        <v>https://portaletrasparenza.consorziobacchiglione.it/dettagli/attodigara/6812/fornitura-mc-1-50-di-calcestruzzo-rck-300-s4-per-lavori-presso-scolo-cornio-di-celeseo.html</v>
      </c>
      <c r="U947" t="str">
        <f>"https://portaletrasparenza.consorziobacchiglione.it/download/attodigara/6812/62a209dff23d7.PDF"</f>
        <v>https://portaletrasparenza.consorziobacchiglione.it/download/attodigara/6812/62a209dff23d7.PDF</v>
      </c>
      <c r="V947">
        <f>(SUBSTITUTE(Tabella1[[#This Row],[Importo di aggiudicazione]],".",","))-(SUBSTITUTE(  SUBSTITUTE(          SUBSTITUTE(Tabella1[[#This Row],[Dettaglio somme liquidate]],Tabella1[[#This Row],[CIG]]&amp;": [",""),"€ ]",""),".",","))</f>
        <v>139</v>
      </c>
    </row>
    <row r="948" spans="1:22" x14ac:dyDescent="0.3">
      <c r="A948" t="str">
        <f>"Affidamento"</f>
        <v>Affidamento</v>
      </c>
      <c r="B948" t="str">
        <f>"Manutenzione e riparazione mezzo con targa: AFW043"</f>
        <v>Manutenzione e riparazione mezzo con targa: AFW043</v>
      </c>
      <c r="C948" t="str">
        <f>"ZEE19E3427"</f>
        <v>ZEE19E3427</v>
      </c>
      <c r="D948" t="str">
        <f>"04/11/2021"</f>
        <v>04/11/2021</v>
      </c>
      <c r="E948" t="str">
        <f>""</f>
        <v/>
      </c>
      <c r="F948" t="str">
        <f>""</f>
        <v/>
      </c>
      <c r="G948" t="str">
        <f>"1370.88"</f>
        <v>1370.88</v>
      </c>
      <c r="H948" t="str">
        <f>"Consorzio di bonifica Bacchiglione"</f>
        <v>Consorzio di bonifica Bacchiglione</v>
      </c>
      <c r="I948" t="str">
        <f>"92223390284"</f>
        <v>92223390284</v>
      </c>
      <c r="J948" t="str">
        <f>"23-AFFIDAMENTO DIRETTO"</f>
        <v>23-AFFIDAMENTO DIRETTO</v>
      </c>
      <c r="K948" t="str">
        <f>"16/05/2021"</f>
        <v>16/05/2021</v>
      </c>
      <c r="L948" t="str">
        <f>"04/10/2021"</f>
        <v>04/10/2021</v>
      </c>
      <c r="M948" t="str">
        <f>""</f>
        <v/>
      </c>
      <c r="N948" t="str">
        <f>"Autoriparazioni Ravazzolo s.r.l. Via Roma 259a 35030 Montemerlo di Cervarese Santa Croce PD"</f>
        <v>Autoriparazioni Ravazzolo s.r.l. Via Roma 259a 35030 Montemerlo di Cervarese Santa Croce PD</v>
      </c>
      <c r="O948" t="str">
        <f>"Autoriparazioni Ravazzolo s.r.l. Via Roma 259a 35030 Montemerlo di Cervarese Santa Croce PD"</f>
        <v>Autoriparazioni Ravazzolo s.r.l. Via Roma 259a 35030 Montemerlo di Cervarese Santa Croce PD</v>
      </c>
      <c r="P948" t="str">
        <f>"ZEE19E3427: [1370.88€ ]"</f>
        <v>ZEE19E3427: [1370.88€ ]</v>
      </c>
      <c r="Q948" t="str">
        <f>""</f>
        <v/>
      </c>
      <c r="R948" t="str">
        <f>""</f>
        <v/>
      </c>
      <c r="S948" t="str">
        <f>""</f>
        <v/>
      </c>
      <c r="T948" t="str">
        <f>"https://portaletrasparenza.consorziobacchiglione.it/dettagli/attodigara/427/manutenzione-e-riparazione-mezzo-con-targa-afw043.html"</f>
        <v>https://portaletrasparenza.consorziobacchiglione.it/dettagli/attodigara/427/manutenzione-e-riparazione-mezzo-con-targa-afw043.html</v>
      </c>
      <c r="U948" t="str">
        <f>""</f>
        <v/>
      </c>
      <c r="V9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49" spans="1:22" x14ac:dyDescent="0.3">
      <c r="A949" t="str">
        <f>"Affidamento"</f>
        <v>Affidamento</v>
      </c>
      <c r="B949" t="str">
        <f>"Fornitura n 5 gruppo emerg.evelux 58W per Idrovora di Bovolenta."</f>
        <v>Fornitura n 5 gruppo emerg.evelux 58W per Idrovora di Bovolenta.</v>
      </c>
      <c r="C949" t="str">
        <f>"ZCE19E335F"</f>
        <v>ZCE19E335F</v>
      </c>
      <c r="D949" t="str">
        <f>"04/11/2021"</f>
        <v>04/11/2021</v>
      </c>
      <c r="E949" t="str">
        <f>""</f>
        <v/>
      </c>
      <c r="F949" t="str">
        <f>""</f>
        <v/>
      </c>
      <c r="G949" t="str">
        <f>"194.45"</f>
        <v>194.45</v>
      </c>
      <c r="H949" t="str">
        <f>"Consorzio di bonifica Bacchiglione"</f>
        <v>Consorzio di bonifica Bacchiglione</v>
      </c>
      <c r="I949" t="str">
        <f>"92223390284"</f>
        <v>92223390284</v>
      </c>
      <c r="J949" t="str">
        <f>"23-AFFIDAMENTO DIRETTO"</f>
        <v>23-AFFIDAMENTO DIRETTO</v>
      </c>
      <c r="K949" t="str">
        <f>"16/05/2021"</f>
        <v>16/05/2021</v>
      </c>
      <c r="L949" t="str">
        <f>"04/07/2021"</f>
        <v>04/07/2021</v>
      </c>
      <c r="M949" t="str">
        <f>""</f>
        <v/>
      </c>
      <c r="N949" t="str">
        <f>"Marchiol S.P.A. Viale della Repubblica 41 31020 sede legale Villorba TV"</f>
        <v>Marchiol S.P.A. Viale della Repubblica 41 31020 sede legale Villorba TV</v>
      </c>
      <c r="O949" t="str">
        <f>"Marchiol S.P.A. Viale della Repubblica 41 31020 sede legale Villorba TV"</f>
        <v>Marchiol S.P.A. Viale della Repubblica 41 31020 sede legale Villorba TV</v>
      </c>
      <c r="P949" t="str">
        <f>"ZCE19E335F: [194.45€ ]"</f>
        <v>ZCE19E335F: [194.45€ ]</v>
      </c>
      <c r="Q949" t="str">
        <f>""</f>
        <v/>
      </c>
      <c r="R949" t="str">
        <f>""</f>
        <v/>
      </c>
      <c r="S949" t="str">
        <f>""</f>
        <v/>
      </c>
      <c r="T949" t="str">
        <f>"https://portaletrasparenza.consorziobacchiglione.it/dettagli/attodigara/426/fornitura-n-5-gruppo-emerg-evelux-58w-per-idrovora-di-bovolenta.html"</f>
        <v>https://portaletrasparenza.consorziobacchiglione.it/dettagli/attodigara/426/fornitura-n-5-gruppo-emerg-evelux-58w-per-idrovora-di-bovolenta.html</v>
      </c>
      <c r="U949" t="str">
        <f>""</f>
        <v/>
      </c>
      <c r="V9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50" spans="1:22" x14ac:dyDescent="0.3">
      <c r="A950" t="str">
        <f>"Affidamento"</f>
        <v>Affidamento</v>
      </c>
      <c r="B950" t="str">
        <f>"Manutenzione e riparazione mezzo con targa: CB933XY."</f>
        <v>Manutenzione e riparazione mezzo con targa: CB933XY.</v>
      </c>
      <c r="C950" t="str">
        <f>"Z0A19E3282"</f>
        <v>Z0A19E3282</v>
      </c>
      <c r="D950" t="str">
        <f>"04/11/2021"</f>
        <v>04/11/2021</v>
      </c>
      <c r="E950" t="str">
        <f>""</f>
        <v/>
      </c>
      <c r="F950" t="str">
        <f>""</f>
        <v/>
      </c>
      <c r="G950" t="str">
        <f>"490.59"</f>
        <v>490.59</v>
      </c>
      <c r="H950" t="str">
        <f>"Consorzio di bonifica Bacchiglione"</f>
        <v>Consorzio di bonifica Bacchiglione</v>
      </c>
      <c r="I950" t="str">
        <f>"92223390284"</f>
        <v>92223390284</v>
      </c>
      <c r="J950" t="str">
        <f>"23-AFFIDAMENTO DIRETTO"</f>
        <v>23-AFFIDAMENTO DIRETTO</v>
      </c>
      <c r="K950" t="str">
        <f>"16/05/2021"</f>
        <v>16/05/2021</v>
      </c>
      <c r="L950" t="str">
        <f>"15/06/2021"</f>
        <v>15/06/2021</v>
      </c>
      <c r="M950" t="str">
        <f>""</f>
        <v/>
      </c>
      <c r="N950" t="str">
        <f>"Elettrodiesel Peruzzo s.r.l. Via Tevere 30 35135 Padova"</f>
        <v>Elettrodiesel Peruzzo s.r.l. Via Tevere 30 35135 Padova</v>
      </c>
      <c r="O950" t="str">
        <f>"Elettrodiesel Peruzzo s.r.l. Via Tevere 30 35135 Padova"</f>
        <v>Elettrodiesel Peruzzo s.r.l. Via Tevere 30 35135 Padova</v>
      </c>
      <c r="P950" t="str">
        <f>"Z0A19E3282: [490.59€ ]"</f>
        <v>Z0A19E3282: [490.59€ ]</v>
      </c>
      <c r="Q950" t="str">
        <f>""</f>
        <v/>
      </c>
      <c r="R950" t="str">
        <f>""</f>
        <v/>
      </c>
      <c r="S950" t="str">
        <f>""</f>
        <v/>
      </c>
      <c r="T950" t="str">
        <f>"https://portaletrasparenza.consorziobacchiglione.it/dettagli/attodigara/425/manutenzione-e-riparazione-mezzo-con-targa-cb933xy.html"</f>
        <v>https://portaletrasparenza.consorziobacchiglione.it/dettagli/attodigara/425/manutenzione-e-riparazione-mezzo-con-targa-cb933xy.html</v>
      </c>
      <c r="U950" t="str">
        <f>""</f>
        <v/>
      </c>
      <c r="V95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51" spans="1:22" x14ac:dyDescent="0.3">
      <c r="A951" t="str">
        <f>"Affidamento"</f>
        <v>Affidamento</v>
      </c>
      <c r="B951" t="str">
        <f>"Riparazione e manutenzione mezzo con targa: AKA712."</f>
        <v>Riparazione e manutenzione mezzo con targa: AKA712.</v>
      </c>
      <c r="C951" t="str">
        <f>"Z3D19E318C"</f>
        <v>Z3D19E318C</v>
      </c>
      <c r="D951" t="str">
        <f>"04/11/2021"</f>
        <v>04/11/2021</v>
      </c>
      <c r="E951" t="str">
        <f>""</f>
        <v/>
      </c>
      <c r="F951" t="str">
        <f>""</f>
        <v/>
      </c>
      <c r="G951" t="str">
        <f>"804.00"</f>
        <v>804.00</v>
      </c>
      <c r="H951" t="str">
        <f>"Consorzio di bonifica Bacchiglione"</f>
        <v>Consorzio di bonifica Bacchiglione</v>
      </c>
      <c r="I951" t="str">
        <f>"92223390284"</f>
        <v>92223390284</v>
      </c>
      <c r="J951" t="str">
        <f>"23-AFFIDAMENTO DIRETTO"</f>
        <v>23-AFFIDAMENTO DIRETTO</v>
      </c>
      <c r="K951" t="str">
        <f>"16/05/2021"</f>
        <v>16/05/2021</v>
      </c>
      <c r="L951" t="str">
        <f>"04/07/2021"</f>
        <v>04/07/2021</v>
      </c>
      <c r="M951" t="str">
        <f>""</f>
        <v/>
      </c>
      <c r="N951" t="str">
        <f>"Adriatica Commerciale Macchine s.r.l. Via dell'Artigianato 5 35020 Due Carrare PD"</f>
        <v>Adriatica Commerciale Macchine s.r.l. Via dell'Artigianato 5 35020 Due Carrare PD</v>
      </c>
      <c r="O951" t="str">
        <f>"Adriatica Commerciale Macchine s.r.l. Via dell'Artigianato 5 35020 Due Carrare PD"</f>
        <v>Adriatica Commerciale Macchine s.r.l. Via dell'Artigianato 5 35020 Due Carrare PD</v>
      </c>
      <c r="P951" t="str">
        <f>"Z3D19E318C: [804.00€ ]"</f>
        <v>Z3D19E318C: [804.00€ ]</v>
      </c>
      <c r="Q951" t="str">
        <f>""</f>
        <v/>
      </c>
      <c r="R951" t="str">
        <f>""</f>
        <v/>
      </c>
      <c r="S951" t="str">
        <f>""</f>
        <v/>
      </c>
      <c r="T951" t="str">
        <f>"https://portaletrasparenza.consorziobacchiglione.it/dettagli/attodigara/424/riparazione-e-manutenzione-mezzo-con-targa-aka712.html"</f>
        <v>https://portaletrasparenza.consorziobacchiglione.it/dettagli/attodigara/424/riparazione-e-manutenzione-mezzo-con-targa-aka712.html</v>
      </c>
      <c r="U951" t="str">
        <f>""</f>
        <v/>
      </c>
      <c r="V95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52" spans="1:22" x14ac:dyDescent="0.3">
      <c r="A952" t="str">
        <f>"Affidamento"</f>
        <v>Affidamento</v>
      </c>
      <c r="B952" t="str">
        <f>"Fornitura materiale edile per canaletta irrigua Roggia Manzere."</f>
        <v>Fornitura materiale edile per canaletta irrigua Roggia Manzere.</v>
      </c>
      <c r="C952" t="str">
        <f>"ZC919E3010"</f>
        <v>ZC919E3010</v>
      </c>
      <c r="D952" t="str">
        <f>"04/11/2021"</f>
        <v>04/11/2021</v>
      </c>
      <c r="E952" t="str">
        <f>""</f>
        <v/>
      </c>
      <c r="F952" t="str">
        <f>""</f>
        <v/>
      </c>
      <c r="G952" t="str">
        <f>"303.15"</f>
        <v>303.15</v>
      </c>
      <c r="H952" t="str">
        <f>"Consorzio di bonifica Bacchiglione"</f>
        <v>Consorzio di bonifica Bacchiglione</v>
      </c>
      <c r="I952" t="str">
        <f>"92223390284"</f>
        <v>92223390284</v>
      </c>
      <c r="J952" t="str">
        <f>"23-AFFIDAMENTO DIRETTO"</f>
        <v>23-AFFIDAMENTO DIRETTO</v>
      </c>
      <c r="K952" t="str">
        <f>"16/05/2021"</f>
        <v>16/05/2021</v>
      </c>
      <c r="L952" t="str">
        <f>"30/06/2021"</f>
        <v>30/06/2021</v>
      </c>
      <c r="M952" t="str">
        <f>""</f>
        <v/>
      </c>
      <c r="N952" t="str">
        <f>"Idronord s.r.l. Via delle Industrie 3C 30036 Santa Maria Di Sala VE"</f>
        <v>Idronord s.r.l. Via delle Industrie 3C 30036 Santa Maria Di Sala VE</v>
      </c>
      <c r="O952" t="str">
        <f>"Idronord s.r.l. Via delle Industrie 3C 30036 Santa Maria Di Sala VE"</f>
        <v>Idronord s.r.l. Via delle Industrie 3C 30036 Santa Maria Di Sala VE</v>
      </c>
      <c r="P952" t="str">
        <f>"ZC919E3010: [303.15€ ]"</f>
        <v>ZC919E3010: [303.15€ ]</v>
      </c>
      <c r="Q952" t="str">
        <f>""</f>
        <v/>
      </c>
      <c r="R952" t="str">
        <f>""</f>
        <v/>
      </c>
      <c r="S952" t="str">
        <f>""</f>
        <v/>
      </c>
      <c r="T952" t="str">
        <f>"https://portaletrasparenza.consorziobacchiglione.it/dettagli/attodigara/422/fornitura-materiale-edile-per-canaletta-irrigua-roggia-manzere.html"</f>
        <v>https://portaletrasparenza.consorziobacchiglione.it/dettagli/attodigara/422/fornitura-materiale-edile-per-canaletta-irrigua-roggia-manzere.html</v>
      </c>
      <c r="U952" t="str">
        <f>""</f>
        <v/>
      </c>
      <c r="V9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53" spans="1:22" x14ac:dyDescent="0.3">
      <c r="A953" t="str">
        <f>"Affidamento"</f>
        <v>Affidamento</v>
      </c>
      <c r="B953" t="str">
        <f>"Somme a disposizione dell'amministrazione - Fornitura, posa di terreno vegetale e semina per la sistemazione esterna del piazzale 2^ Stazione di Sollevamento oltre che alle ulteririori lavorazioni di sistemazione richie"</f>
        <v>Somme a disposizione dell'amministrazione - Fornitura, posa di terreno vegetale e semina per la sistemazione esterna del piazzale 2^ Stazione di Sollevamento oltre che alle ulteririori lavorazioni di sistemazione richie</v>
      </c>
      <c r="C953" t="str">
        <f>"Z3719E0BA7"</f>
        <v>Z3719E0BA7</v>
      </c>
      <c r="D953" t="str">
        <f>"04/11/2021"</f>
        <v>04/11/2021</v>
      </c>
      <c r="E953" t="str">
        <f>""</f>
        <v/>
      </c>
      <c r="F953" t="str">
        <f>""</f>
        <v/>
      </c>
      <c r="G953" t="str">
        <f>"14869.00"</f>
        <v>14869.00</v>
      </c>
      <c r="H953" t="str">
        <f>"Consorzio di bonifica Bacchiglione"</f>
        <v>Consorzio di bonifica Bacchiglione</v>
      </c>
      <c r="I953" t="str">
        <f>"92223390284"</f>
        <v>92223390284</v>
      </c>
      <c r="J953" t="str">
        <f>"23-AFFIDAMENTO DIRETTO"</f>
        <v>23-AFFIDAMENTO DIRETTO</v>
      </c>
      <c r="K953" t="str">
        <f>"16/05/2021"</f>
        <v>16/05/2021</v>
      </c>
      <c r="L953" t="str">
        <f>"17/06/2021"</f>
        <v>17/06/2021</v>
      </c>
      <c r="M953" t="str">
        <f>""</f>
        <v/>
      </c>
      <c r="N953" t="str">
        <f>"Viale Valter | PER IL TUO GIARDINO di Maniero Gabriele"</f>
        <v>Viale Valter | PER IL TUO GIARDINO di Maniero Gabriele</v>
      </c>
      <c r="O953" t="str">
        <f>"Viale Valter"</f>
        <v>Viale Valter</v>
      </c>
      <c r="P953" t="str">
        <f>"Z3719E0BA7: [14869.00€ ]"</f>
        <v>Z3719E0BA7: [14869.00€ ]</v>
      </c>
      <c r="Q953" t="str">
        <f>""</f>
        <v/>
      </c>
      <c r="R953" t="str">
        <f>""</f>
        <v/>
      </c>
      <c r="S953" t="str">
        <f>""</f>
        <v/>
      </c>
      <c r="T953" t="s">
        <v>48</v>
      </c>
      <c r="U953" t="str">
        <f>""</f>
        <v/>
      </c>
      <c r="V9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54" spans="1:22" x14ac:dyDescent="0.3">
      <c r="A954" t="str">
        <f>"Affidamento"</f>
        <v>Affidamento</v>
      </c>
      <c r="B954" t="str">
        <f>"Diserbo degli scoli consorziali per l'anno 2016 - Bacino Sesta Presa - Seconda Sezione (cottimo 08/2016)"</f>
        <v>Diserbo degli scoli consorziali per l'anno 2016 - Bacino Sesta Presa - Seconda Sezione (cottimo 08/2016)</v>
      </c>
      <c r="C954" t="str">
        <f>"66500166CD"</f>
        <v>66500166CD</v>
      </c>
      <c r="D954" t="str">
        <f>"04/11/2021"</f>
        <v>04/11/2021</v>
      </c>
      <c r="E954" t="str">
        <f>""</f>
        <v/>
      </c>
      <c r="F954" t="str">
        <f>""</f>
        <v/>
      </c>
      <c r="G954" t="str">
        <f>"55157.16"</f>
        <v>55157.16</v>
      </c>
      <c r="H954" t="str">
        <f>"Consorzio di bonifica Bacchiglione"</f>
        <v>Consorzio di bonifica Bacchiglione</v>
      </c>
      <c r="I954" t="str">
        <f>"92223390284"</f>
        <v>92223390284</v>
      </c>
      <c r="J954" t="str">
        <f>"08-AFFIDAMENTO IN ECONOMIA - COTTIMO FIDUCIARIO"</f>
        <v>08-AFFIDAMENTO IN ECONOMIA - COTTIMO FIDUCIARIO</v>
      </c>
      <c r="K954" t="str">
        <f>"16/05/2021"</f>
        <v>16/05/2021</v>
      </c>
      <c r="L954" t="str">
        <f>"15/11/2021"</f>
        <v>15/11/2021</v>
      </c>
      <c r="M954" t="str">
        <f>""</f>
        <v/>
      </c>
      <c r="N954" t="str">
        <f>"Viel Giampaolo | GARDIN SANDRO | Rossetto Bruno e Renato s.n.c. | VPS s.r.l. | Padovani Pietro"</f>
        <v>Viel Giampaolo | GARDIN SANDRO | Rossetto Bruno e Renato s.n.c. | VPS s.r.l. | Padovani Pietro</v>
      </c>
      <c r="O954" t="str">
        <f>"Viel Giampaolo"</f>
        <v>Viel Giampaolo</v>
      </c>
      <c r="P954" t="str">
        <f>"66500166CD: [54887.40€ ]"</f>
        <v>66500166CD: [54887.40€ ]</v>
      </c>
      <c r="Q954" t="str">
        <f>""</f>
        <v/>
      </c>
      <c r="R954" t="str">
        <f>""</f>
        <v/>
      </c>
      <c r="S954" t="str">
        <f>""</f>
        <v/>
      </c>
      <c r="T954" t="str">
        <f>"https://portaletrasparenza.consorziobacchiglione.it/dettagli/attodigara/11/diserbo-degli-scoli-consorziali-per-l-anno-2016-bacino-sesta-presa-seconda-sezione-cottimo-08-2016.html"</f>
        <v>https://portaletrasparenza.consorziobacchiglione.it/dettagli/attodigara/11/diserbo-degli-scoli-consorziali-per-l-anno-2016-bacino-sesta-presa-seconda-sezione-cottimo-08-2016.html</v>
      </c>
      <c r="U954" t="str">
        <f>""</f>
        <v/>
      </c>
      <c r="V954">
        <f>(SUBSTITUTE(Tabella1[[#This Row],[Importo di aggiudicazione]],".",","))-(SUBSTITUTE(  SUBSTITUTE(          SUBSTITUTE(Tabella1[[#This Row],[Dettaglio somme liquidate]],Tabella1[[#This Row],[CIG]]&amp;": [",""),"€ ]",""),".",","))</f>
        <v>269.76000000000204</v>
      </c>
    </row>
    <row r="955" spans="1:22" x14ac:dyDescent="0.3">
      <c r="A955" t="str">
        <f>"Affidamento"</f>
        <v>Affidamento</v>
      </c>
      <c r="B955" t="str">
        <f>"Fornitura pezzi di ricambio per decespugliatori C.O.S.Margherita."</f>
        <v>Fornitura pezzi di ricambio per decespugliatori C.O.S.Margherita.</v>
      </c>
      <c r="C955" t="str">
        <f>"Z0319E309F"</f>
        <v>Z0319E309F</v>
      </c>
      <c r="D955" t="str">
        <f>"04/11/2021"</f>
        <v>04/11/2021</v>
      </c>
      <c r="E955" t="str">
        <f>""</f>
        <v/>
      </c>
      <c r="F955" t="str">
        <f>""</f>
        <v/>
      </c>
      <c r="G955" t="str">
        <f>"278.69"</f>
        <v>278.69</v>
      </c>
      <c r="H955" t="str">
        <f>"Consorzio di bonifica Bacchiglione"</f>
        <v>Consorzio di bonifica Bacchiglione</v>
      </c>
      <c r="I955" t="str">
        <f>"92223390284"</f>
        <v>92223390284</v>
      </c>
      <c r="J955" t="str">
        <f>"23-AFFIDAMENTO DIRETTO"</f>
        <v>23-AFFIDAMENTO DIRETTO</v>
      </c>
      <c r="K955" t="str">
        <f>"16/05/2021"</f>
        <v>16/05/2021</v>
      </c>
      <c r="L955" t="str">
        <f>"31/12/2021"</f>
        <v>31/12/2021</v>
      </c>
      <c r="M955" t="str">
        <f>""</f>
        <v/>
      </c>
      <c r="N955" t="str">
        <f>"Frizzarin Riccardo Via Papa Giovanni XXXIII 20 35026 Conselve PD"</f>
        <v>Frizzarin Riccardo Via Papa Giovanni XXXIII 20 35026 Conselve PD</v>
      </c>
      <c r="O955" t="str">
        <f>"Frizzarin Riccardo Via Papa Giovanni XXXIII 20 35026 Conselve PD"</f>
        <v>Frizzarin Riccardo Via Papa Giovanni XXXIII 20 35026 Conselve PD</v>
      </c>
      <c r="P955" t="str">
        <f>"Z0319E309F: [0.00€ ]"</f>
        <v>Z0319E309F: [0.00€ ]</v>
      </c>
      <c r="Q955" t="str">
        <f>""</f>
        <v/>
      </c>
      <c r="R955" t="str">
        <f>""</f>
        <v/>
      </c>
      <c r="S955" t="str">
        <f>""</f>
        <v/>
      </c>
      <c r="T955" t="str">
        <f>"https://portaletrasparenza.consorziobacchiglione.it/dettagli/attodigara/423/fornitura-pezzi-di-ricambio-per-decespugliatori-c-o-s-margherita.html"</f>
        <v>https://portaletrasparenza.consorziobacchiglione.it/dettagli/attodigara/423/fornitura-pezzi-di-ricambio-per-decespugliatori-c-o-s-margherita.html</v>
      </c>
      <c r="U955" t="str">
        <f>""</f>
        <v/>
      </c>
      <c r="V955">
        <f>(SUBSTITUTE(Tabella1[[#This Row],[Importo di aggiudicazione]],".",","))-(SUBSTITUTE(  SUBSTITUTE(          SUBSTITUTE(Tabella1[[#This Row],[Dettaglio somme liquidate]],Tabella1[[#This Row],[CIG]]&amp;": [",""),"€ ]",""),".",","))</f>
        <v>278.69</v>
      </c>
    </row>
    <row r="956" spans="1:22" x14ac:dyDescent="0.3">
      <c r="A956" t="str">
        <f>"Affidamento"</f>
        <v>Affidamento</v>
      </c>
      <c r="B956" t="str">
        <f>"Manutenzione e riparazione mezzi con targa: AJ205BM, AHH573."</f>
        <v>Manutenzione e riparazione mezzi con targa: AJ205BM, AHH573.</v>
      </c>
      <c r="C956" t="str">
        <f>"Z9C19E4C22"</f>
        <v>Z9C19E4C22</v>
      </c>
      <c r="D956" t="str">
        <f>"04/11/2021"</f>
        <v>04/11/2021</v>
      </c>
      <c r="E956" t="str">
        <f>""</f>
        <v/>
      </c>
      <c r="F956" t="str">
        <f>""</f>
        <v/>
      </c>
      <c r="G956" t="str">
        <f>"1159.61"</f>
        <v>1159.61</v>
      </c>
      <c r="H956" t="str">
        <f>"Consorzio di bonifica Bacchiglione"</f>
        <v>Consorzio di bonifica Bacchiglione</v>
      </c>
      <c r="I956" t="str">
        <f>"92223390284"</f>
        <v>92223390284</v>
      </c>
      <c r="J956" t="str">
        <f>"23-AFFIDAMENTO DIRETTO"</f>
        <v>23-AFFIDAMENTO DIRETTO</v>
      </c>
      <c r="K956" t="str">
        <f>"16/06/2021"</f>
        <v>16/06/2021</v>
      </c>
      <c r="L956" t="str">
        <f>"06/09/2021"</f>
        <v>06/09/2021</v>
      </c>
      <c r="M956" t="str">
        <f>""</f>
        <v/>
      </c>
      <c r="N956" t="str">
        <f>"Negrisolo Officina Meccanica s.a.s. V.le delle Industrie II° strada 13 35025 Cagnola di Cartura PD"</f>
        <v>Negrisolo Officina Meccanica s.a.s. V.le delle Industrie II° strada 13 35025 Cagnola di Cartura PD</v>
      </c>
      <c r="O956" t="str">
        <f>"Negrisolo Officina Meccanica s.a.s. V.le delle Industrie II° strada 13 35025 Cagnola di Cartura PD"</f>
        <v>Negrisolo Officina Meccanica s.a.s. V.le delle Industrie II° strada 13 35025 Cagnola di Cartura PD</v>
      </c>
      <c r="P956" t="s">
        <v>331</v>
      </c>
      <c r="Q956" t="str">
        <f>""</f>
        <v/>
      </c>
      <c r="R956" t="str">
        <f>""</f>
        <v/>
      </c>
      <c r="S956" t="str">
        <f>""</f>
        <v/>
      </c>
      <c r="T956" t="str">
        <f>"https://portaletrasparenza.consorziobacchiglione.it/dettagli/attodigara/529/manutenzione-e-riparazione-mezzi-con-targa-aj205bm-ahh573.html"</f>
        <v>https://portaletrasparenza.consorziobacchiglione.it/dettagli/attodigara/529/manutenzione-e-riparazione-mezzi-con-targa-aj205bm-ahh573.html</v>
      </c>
      <c r="U956" t="str">
        <f>""</f>
        <v/>
      </c>
      <c r="V95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57" spans="1:22" x14ac:dyDescent="0.3">
      <c r="A957" t="str">
        <f>"Affidamento"</f>
        <v>Affidamento</v>
      </c>
      <c r="B957" t="str">
        <f>"Fornitura materiale di ferramenta per C.O.S.Margherita."</f>
        <v>Fornitura materiale di ferramenta per C.O.S.Margherita.</v>
      </c>
      <c r="C957" t="str">
        <f>"Z7E1A51A2F"</f>
        <v>Z7E1A51A2F</v>
      </c>
      <c r="D957" t="str">
        <f>"04/11/2021"</f>
        <v>04/11/2021</v>
      </c>
      <c r="E957" t="str">
        <f>""</f>
        <v/>
      </c>
      <c r="F957" t="str">
        <f>""</f>
        <v/>
      </c>
      <c r="G957" t="str">
        <f>"211.20"</f>
        <v>211.20</v>
      </c>
      <c r="H957" t="str">
        <f>"Consorzio di bonifica Bacchiglione"</f>
        <v>Consorzio di bonifica Bacchiglione</v>
      </c>
      <c r="I957" t="str">
        <f>"92223390284"</f>
        <v>92223390284</v>
      </c>
      <c r="J957" t="str">
        <f>"23-AFFIDAMENTO DIRETTO"</f>
        <v>23-AFFIDAMENTO DIRETTO</v>
      </c>
      <c r="K957" t="str">
        <f>"16/06/2021"</f>
        <v>16/06/2021</v>
      </c>
      <c r="L957" t="str">
        <f>"26/08/2021"</f>
        <v>26/08/2021</v>
      </c>
      <c r="M957" t="str">
        <f>""</f>
        <v/>
      </c>
      <c r="N957" t="str">
        <f>"Gollo Giovanni Via Vallona 65 35020 Conche di Codevigo PD"</f>
        <v>Gollo Giovanni Via Vallona 65 35020 Conche di Codevigo PD</v>
      </c>
      <c r="O957" t="str">
        <f>"Gollo Giovanni Via Vallona 65 35020 Conche di Codevigo PD"</f>
        <v>Gollo Giovanni Via Vallona 65 35020 Conche di Codevigo PD</v>
      </c>
      <c r="P957" t="str">
        <f>"Z7E1A51A2F: [211.20€ ]"</f>
        <v>Z7E1A51A2F: [211.20€ ]</v>
      </c>
      <c r="Q957" t="str">
        <f>""</f>
        <v/>
      </c>
      <c r="R957" t="str">
        <f>""</f>
        <v/>
      </c>
      <c r="S957" t="str">
        <f>""</f>
        <v/>
      </c>
      <c r="T957" t="str">
        <f>"https://portaletrasparenza.consorziobacchiglione.it/dettagli/attodigara/533/fornitura-materiale-di-ferramenta-per-c-o-s-margherita.html"</f>
        <v>https://portaletrasparenza.consorziobacchiglione.it/dettagli/attodigara/533/fornitura-materiale-di-ferramenta-per-c-o-s-margherita.html</v>
      </c>
      <c r="U957" t="str">
        <f>""</f>
        <v/>
      </c>
      <c r="V95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58" spans="1:22" x14ac:dyDescent="0.3">
      <c r="A958" t="str">
        <f>"Affidamento"</f>
        <v>Affidamento</v>
      </c>
      <c r="B958" t="str">
        <f>"Riparazione e manutenzione mezzo con targa: AKA712."</f>
        <v>Riparazione e manutenzione mezzo con targa: AKA712.</v>
      </c>
      <c r="C958" t="str">
        <f>"Z9F1A50B8C"</f>
        <v>Z9F1A50B8C</v>
      </c>
      <c r="D958" t="str">
        <f>"04/11/2021"</f>
        <v>04/11/2021</v>
      </c>
      <c r="E958" t="str">
        <f>""</f>
        <v/>
      </c>
      <c r="F958" t="str">
        <f>""</f>
        <v/>
      </c>
      <c r="G958" t="str">
        <f>"1595.02"</f>
        <v>1595.02</v>
      </c>
      <c r="H958" t="str">
        <f>"Consorzio di bonifica Bacchiglione"</f>
        <v>Consorzio di bonifica Bacchiglione</v>
      </c>
      <c r="I958" t="str">
        <f>"92223390284"</f>
        <v>92223390284</v>
      </c>
      <c r="J958" t="str">
        <f>"23-AFFIDAMENTO DIRETTO"</f>
        <v>23-AFFIDAMENTO DIRETTO</v>
      </c>
      <c r="K958" t="str">
        <f>"16/06/2021"</f>
        <v>16/06/2021</v>
      </c>
      <c r="L958" t="str">
        <f>"22/08/2021"</f>
        <v>22/08/2021</v>
      </c>
      <c r="M958" t="str">
        <f>""</f>
        <v/>
      </c>
      <c r="N958" t="str">
        <f>"Adriatica Commerciale Macchine s.r.l. Via dell'Artigianato 5 35020 Due Carrare PD"</f>
        <v>Adriatica Commerciale Macchine s.r.l. Via dell'Artigianato 5 35020 Due Carrare PD</v>
      </c>
      <c r="O958" t="str">
        <f>"Adriatica Commerciale Macchine s.r.l. Via dell'Artigianato 5 35020 Due Carrare PD"</f>
        <v>Adriatica Commerciale Macchine s.r.l. Via dell'Artigianato 5 35020 Due Carrare PD</v>
      </c>
      <c r="P958" t="str">
        <f>"Z9F1A50B8C: [1595.02€ ]"</f>
        <v>Z9F1A50B8C: [1595.02€ ]</v>
      </c>
      <c r="Q958" t="str">
        <f>""</f>
        <v/>
      </c>
      <c r="R958" t="str">
        <f>""</f>
        <v/>
      </c>
      <c r="S958" t="str">
        <f>""</f>
        <v/>
      </c>
      <c r="T958" t="str">
        <f>"https://portaletrasparenza.consorziobacchiglione.it/dettagli/attodigara/532/riparazione-e-manutenzione-mezzo-con-targa-aka712.html"</f>
        <v>https://portaletrasparenza.consorziobacchiglione.it/dettagli/attodigara/532/riparazione-e-manutenzione-mezzo-con-targa-aka712.html</v>
      </c>
      <c r="U958" t="str">
        <f>""</f>
        <v/>
      </c>
      <c r="V9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59" spans="1:22" x14ac:dyDescent="0.3">
      <c r="A959" t="str">
        <f>"Affidamento"</f>
        <v>Affidamento</v>
      </c>
      <c r="B959" t="str">
        <f>"Pulizia con canal jet scolo Sandonà e Diramazione Rocchetti."</f>
        <v>Pulizia con canal jet scolo Sandonà e Diramazione Rocchetti.</v>
      </c>
      <c r="C959" t="str">
        <f>"ZB51A50A9D"</f>
        <v>ZB51A50A9D</v>
      </c>
      <c r="D959" t="str">
        <f>"04/11/2021"</f>
        <v>04/11/2021</v>
      </c>
      <c r="E959" t="str">
        <f>""</f>
        <v/>
      </c>
      <c r="F959" t="str">
        <f>""</f>
        <v/>
      </c>
      <c r="G959" t="str">
        <f>"320.00"</f>
        <v>320.00</v>
      </c>
      <c r="H959" t="str">
        <f>"Consorzio di bonifica Bacchiglione"</f>
        <v>Consorzio di bonifica Bacchiglione</v>
      </c>
      <c r="I959" t="str">
        <f>"92223390284"</f>
        <v>92223390284</v>
      </c>
      <c r="J959" t="str">
        <f>"23-AFFIDAMENTO DIRETTO"</f>
        <v>23-AFFIDAMENTO DIRETTO</v>
      </c>
      <c r="K959" t="str">
        <f>"16/06/2021"</f>
        <v>16/06/2021</v>
      </c>
      <c r="L959" t="str">
        <f>"29/07/2021"</f>
        <v>29/07/2021</v>
      </c>
      <c r="M959" t="str">
        <f>""</f>
        <v/>
      </c>
      <c r="N959" t="str">
        <f>"Carrarespurghi di Peraro Filippo Via G Verdi 4 35020 Due Carrare PD"</f>
        <v>Carrarespurghi di Peraro Filippo Via G Verdi 4 35020 Due Carrare PD</v>
      </c>
      <c r="O959" t="str">
        <f>"Carrarespurghi di Peraro Filippo Via G Verdi 4 35020 Due Carrare PD"</f>
        <v>Carrarespurghi di Peraro Filippo Via G Verdi 4 35020 Due Carrare PD</v>
      </c>
      <c r="P959" t="str">
        <f>"ZB51A50A9D: [320.00€ ]"</f>
        <v>ZB51A50A9D: [320.00€ ]</v>
      </c>
      <c r="Q959" t="str">
        <f>""</f>
        <v/>
      </c>
      <c r="R959" t="str">
        <f>""</f>
        <v/>
      </c>
      <c r="S959" t="str">
        <f>""</f>
        <v/>
      </c>
      <c r="T959" t="str">
        <f>"https://portaletrasparenza.consorziobacchiglione.it/dettagli/attodigara/531/pulizia-con-canal-jet-scolo-sandona-e-diramazione-rocchetti.html"</f>
        <v>https://portaletrasparenza.consorziobacchiglione.it/dettagli/attodigara/531/pulizia-con-canal-jet-scolo-sandona-e-diramazione-rocchetti.html</v>
      </c>
      <c r="U959" t="str">
        <f>""</f>
        <v/>
      </c>
      <c r="V95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60" spans="1:22" x14ac:dyDescent="0.3">
      <c r="A960" t="str">
        <f>"Affidamento"</f>
        <v>Affidamento</v>
      </c>
      <c r="B960" t="str">
        <f>"Noleggio bagno chimico da cantiere per lavori scolo Bolzani."</f>
        <v>Noleggio bagno chimico da cantiere per lavori scolo Bolzani.</v>
      </c>
      <c r="C960" t="str">
        <f>"Z071A508D1"</f>
        <v>Z071A508D1</v>
      </c>
      <c r="D960" t="str">
        <f>"04/11/2021"</f>
        <v>04/11/2021</v>
      </c>
      <c r="E960" t="str">
        <f>""</f>
        <v/>
      </c>
      <c r="F960" t="str">
        <f>""</f>
        <v/>
      </c>
      <c r="G960" t="str">
        <f>"72.00"</f>
        <v>72.00</v>
      </c>
      <c r="H960" t="str">
        <f>"Consorzio di bonifica Bacchiglione"</f>
        <v>Consorzio di bonifica Bacchiglione</v>
      </c>
      <c r="I960" t="str">
        <f>"92223390284"</f>
        <v>92223390284</v>
      </c>
      <c r="J960" t="str">
        <f>"23-AFFIDAMENTO DIRETTO"</f>
        <v>23-AFFIDAMENTO DIRETTO</v>
      </c>
      <c r="K960" t="str">
        <f>"16/06/2021"</f>
        <v>16/06/2021</v>
      </c>
      <c r="L960" t="str">
        <f>"29/07/2021"</f>
        <v>29/07/2021</v>
      </c>
      <c r="M960" t="str">
        <f>""</f>
        <v/>
      </c>
      <c r="N960" t="str">
        <f>"Carrarespurghi di Peraro Filippo Via G Verdi 4 35020 Due Carrare PD"</f>
        <v>Carrarespurghi di Peraro Filippo Via G Verdi 4 35020 Due Carrare PD</v>
      </c>
      <c r="O960" t="str">
        <f>"Carrarespurghi di Peraro Filippo Via G Verdi 4 35020 Due Carrare PD"</f>
        <v>Carrarespurghi di Peraro Filippo Via G Verdi 4 35020 Due Carrare PD</v>
      </c>
      <c r="P960" t="str">
        <f>"Z071A508D1: [72.00€ ]"</f>
        <v>Z071A508D1: [72.00€ ]</v>
      </c>
      <c r="Q960" t="str">
        <f>""</f>
        <v/>
      </c>
      <c r="R960" t="str">
        <f>""</f>
        <v/>
      </c>
      <c r="S960" t="str">
        <f>""</f>
        <v/>
      </c>
      <c r="T960" t="str">
        <f>"https://portaletrasparenza.consorziobacchiglione.it/dettagli/attodigara/530/noleggio-bagno-chimico-da-cantiere-per-lavori-scolo-bolzani.html"</f>
        <v>https://portaletrasparenza.consorziobacchiglione.it/dettagli/attodigara/530/noleggio-bagno-chimico-da-cantiere-per-lavori-scolo-bolzani.html</v>
      </c>
      <c r="U960" t="str">
        <f>""</f>
        <v/>
      </c>
      <c r="V9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61" spans="1:22" x14ac:dyDescent="0.3">
      <c r="A961" t="str">
        <f>"Affidamento"</f>
        <v>Affidamento</v>
      </c>
      <c r="B961" t="str">
        <f>"Fornitura licenza per office Prof. 2010 per PC Presidenza."</f>
        <v>Fornitura licenza per office Prof. 2010 per PC Presidenza.</v>
      </c>
      <c r="C961" t="str">
        <f>"Z971A50578"</f>
        <v>Z971A50578</v>
      </c>
      <c r="D961" t="str">
        <f>"04/11/2021"</f>
        <v>04/11/2021</v>
      </c>
      <c r="E961" t="str">
        <f>""</f>
        <v/>
      </c>
      <c r="F961" t="str">
        <f>""</f>
        <v/>
      </c>
      <c r="G961" t="str">
        <f>"395.00"</f>
        <v>395.00</v>
      </c>
      <c r="H961" t="str">
        <f>"Consorzio di bonifica Bacchiglione"</f>
        <v>Consorzio di bonifica Bacchiglione</v>
      </c>
      <c r="I961" t="str">
        <f>"92223390284"</f>
        <v>92223390284</v>
      </c>
      <c r="J961" t="str">
        <f>"23-AFFIDAMENTO DIRETTO"</f>
        <v>23-AFFIDAMENTO DIRETTO</v>
      </c>
      <c r="K961" t="str">
        <f>"16/06/2021"</f>
        <v>16/06/2021</v>
      </c>
      <c r="L961" t="str">
        <f>"04/07/2021"</f>
        <v>04/07/2021</v>
      </c>
      <c r="M961" t="str">
        <f>""</f>
        <v/>
      </c>
      <c r="N961" t="str">
        <f>"TPH Elettronica s.a.s. Via N. Pizzolo 51A 35132 Padova"</f>
        <v>TPH Elettronica s.a.s. Via N. Pizzolo 51A 35132 Padova</v>
      </c>
      <c r="O961" t="str">
        <f>"TPH Elettronica s.a.s. Via N. Pizzolo 51A 35132 Padova"</f>
        <v>TPH Elettronica s.a.s. Via N. Pizzolo 51A 35132 Padova</v>
      </c>
      <c r="P961" t="str">
        <f>"Z971A50578: [395.00€ ]"</f>
        <v>Z971A50578: [395.00€ ]</v>
      </c>
      <c r="Q961" t="str">
        <f>""</f>
        <v/>
      </c>
      <c r="R961" t="str">
        <f>""</f>
        <v/>
      </c>
      <c r="S961" t="str">
        <f>""</f>
        <v/>
      </c>
      <c r="T961" t="str">
        <f>"https://portaletrasparenza.consorziobacchiglione.it/dettagli/attodigara/528/fornitura-licenza-per-office-prof-2010-per-pc-presidenza.html"</f>
        <v>https://portaletrasparenza.consorziobacchiglione.it/dettagli/attodigara/528/fornitura-licenza-per-office-prof-2010-per-pc-presidenza.html</v>
      </c>
      <c r="U961" t="str">
        <f>""</f>
        <v/>
      </c>
      <c r="V96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62" spans="1:22" x14ac:dyDescent="0.3">
      <c r="A962" t="str">
        <f>"Affidamento"</f>
        <v>Affidamento</v>
      </c>
      <c r="B962" t="str">
        <f>"Fornitura ricambi per decespugliatore C.O.Bovolenta."</f>
        <v>Fornitura ricambi per decespugliatore C.O.Bovolenta.</v>
      </c>
      <c r="C962" t="str">
        <f>"ZCA1A50387"</f>
        <v>ZCA1A50387</v>
      </c>
      <c r="D962" t="str">
        <f>"04/11/2021"</f>
        <v>04/11/2021</v>
      </c>
      <c r="E962" t="str">
        <f>""</f>
        <v/>
      </c>
      <c r="F962" t="str">
        <f>""</f>
        <v/>
      </c>
      <c r="G962" t="str">
        <f>"797.60"</f>
        <v>797.60</v>
      </c>
      <c r="H962" t="str">
        <f>"Consorzio di bonifica Bacchiglione"</f>
        <v>Consorzio di bonifica Bacchiglione</v>
      </c>
      <c r="I962" t="str">
        <f>"92223390284"</f>
        <v>92223390284</v>
      </c>
      <c r="J962" t="str">
        <f>"23-AFFIDAMENTO DIRETTO"</f>
        <v>23-AFFIDAMENTO DIRETTO</v>
      </c>
      <c r="K962" t="str">
        <f>"16/06/2021"</f>
        <v>16/06/2021</v>
      </c>
      <c r="L962" t="str">
        <f>"01/08/2021"</f>
        <v>01/08/2021</v>
      </c>
      <c r="M962" t="str">
        <f>""</f>
        <v/>
      </c>
      <c r="N962" t="str">
        <f>"Eredi di Stivanello Sergio S.a.s. Via Padova 156 35025 Cartura PD"</f>
        <v>Eredi di Stivanello Sergio S.a.s. Via Padova 156 35025 Cartura PD</v>
      </c>
      <c r="O962" t="str">
        <f>"Eredi di Stivanello Sergio S.a.s. Via Padova 156 35025 Cartura PD"</f>
        <v>Eredi di Stivanello Sergio S.a.s. Via Padova 156 35025 Cartura PD</v>
      </c>
      <c r="P962" t="str">
        <f>"ZCA1A50387: [797.60€ ]"</f>
        <v>ZCA1A50387: [797.60€ ]</v>
      </c>
      <c r="Q962" t="str">
        <f>""</f>
        <v/>
      </c>
      <c r="R962" t="str">
        <f>""</f>
        <v/>
      </c>
      <c r="S962" t="str">
        <f>""</f>
        <v/>
      </c>
      <c r="T962" t="str">
        <f>"https://portaletrasparenza.consorziobacchiglione.it/dettagli/attodigara/527/fornitura-ricambi-per-decespugliatore-c-o-bovolenta.html"</f>
        <v>https://portaletrasparenza.consorziobacchiglione.it/dettagli/attodigara/527/fornitura-ricambi-per-decespugliatore-c-o-bovolenta.html</v>
      </c>
      <c r="U962" t="str">
        <f>""</f>
        <v/>
      </c>
      <c r="V96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63" spans="1:22" x14ac:dyDescent="0.3">
      <c r="A963" t="str">
        <f>"Affidamento"</f>
        <v>Affidamento</v>
      </c>
      <c r="B963" t="str">
        <f>"Fornitura sasso per frane in via Boligo a Campolongo Maggiore."</f>
        <v>Fornitura sasso per frane in via Boligo a Campolongo Maggiore.</v>
      </c>
      <c r="C963" t="str">
        <f>"ZCA1A4FF9B"</f>
        <v>ZCA1A4FF9B</v>
      </c>
      <c r="D963" t="str">
        <f>"04/11/2021"</f>
        <v>04/11/2021</v>
      </c>
      <c r="E963" t="str">
        <f>""</f>
        <v/>
      </c>
      <c r="F963" t="str">
        <f>""</f>
        <v/>
      </c>
      <c r="G963" t="str">
        <f>"2293.50"</f>
        <v>2293.50</v>
      </c>
      <c r="H963" t="str">
        <f>"Consorzio di bonifica Bacchiglione"</f>
        <v>Consorzio di bonifica Bacchiglione</v>
      </c>
      <c r="I963" t="str">
        <f>"92223390284"</f>
        <v>92223390284</v>
      </c>
      <c r="J963" t="str">
        <f>"23-AFFIDAMENTO DIRETTO"</f>
        <v>23-AFFIDAMENTO DIRETTO</v>
      </c>
      <c r="K963" t="str">
        <f>"16/06/2021"</f>
        <v>16/06/2021</v>
      </c>
      <c r="L963" t="str">
        <f>"10/08/2021"</f>
        <v>10/08/2021</v>
      </c>
      <c r="M963" t="str">
        <f>""</f>
        <v/>
      </c>
      <c r="N963" t="str">
        <f>"Trovò s.r.l. Via Idrovora, 3 - 35020 Codevigo (PD)"</f>
        <v>Trovò s.r.l. Via Idrovora, 3 - 35020 Codevigo (PD)</v>
      </c>
      <c r="O963" t="str">
        <f>"Trovò s.r.l. Via Idrovora, 3 - 35020 Codevigo (PD)"</f>
        <v>Trovò s.r.l. Via Idrovora, 3 - 35020 Codevigo (PD)</v>
      </c>
      <c r="P963" t="str">
        <f>"ZCA1A4FF9B: [2293.50€ ]"</f>
        <v>ZCA1A4FF9B: [2293.50€ ]</v>
      </c>
      <c r="Q963" t="str">
        <f>""</f>
        <v/>
      </c>
      <c r="R963" t="str">
        <f>""</f>
        <v/>
      </c>
      <c r="S963" t="str">
        <f>""</f>
        <v/>
      </c>
      <c r="T963" t="str">
        <f>"https://portaletrasparenza.consorziobacchiglione.it/dettagli/attodigara/526/fornitura-sasso-per-frane-in-via-boligo-a-campolongo-maggiore.html"</f>
        <v>https://portaletrasparenza.consorziobacchiglione.it/dettagli/attodigara/526/fornitura-sasso-per-frane-in-via-boligo-a-campolongo-maggiore.html</v>
      </c>
      <c r="U963" t="str">
        <f>""</f>
        <v/>
      </c>
      <c r="V9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64" spans="1:22" x14ac:dyDescent="0.3">
      <c r="A964" t="str">
        <f>"Affidamento"</f>
        <v>Affidamento</v>
      </c>
      <c r="B964" t="str">
        <f>"Fornitura di un armadio inverter per EP1 da 315 KW per Idrovora S.Margherita."</f>
        <v>Fornitura di un armadio inverter per EP1 da 315 KW per Idrovora S.Margherita.</v>
      </c>
      <c r="C964" t="str">
        <f>"ZE01A4E81F"</f>
        <v>ZE01A4E81F</v>
      </c>
      <c r="D964" t="str">
        <f>"04/11/2021"</f>
        <v>04/11/2021</v>
      </c>
      <c r="E964" t="str">
        <f>""</f>
        <v/>
      </c>
      <c r="F964" t="str">
        <f>""</f>
        <v/>
      </c>
      <c r="G964" t="str">
        <f>"17417.00"</f>
        <v>17417.00</v>
      </c>
      <c r="H964" t="str">
        <f>"Consorzio di bonifica Bacchiglione"</f>
        <v>Consorzio di bonifica Bacchiglione</v>
      </c>
      <c r="I964" t="str">
        <f>"92223390284"</f>
        <v>92223390284</v>
      </c>
      <c r="J964" t="str">
        <f>"23-AFFIDAMENTO DIRETTO"</f>
        <v>23-AFFIDAMENTO DIRETTO</v>
      </c>
      <c r="K964" t="str">
        <f>"16/06/2021"</f>
        <v>16/06/2021</v>
      </c>
      <c r="L964" t="str">
        <f>"26/08/2021"</f>
        <v>26/08/2021</v>
      </c>
      <c r="M964" t="str">
        <f>""</f>
        <v/>
      </c>
      <c r="N964" t="str">
        <f>"SCHNEIDER ELECTRIC S.P.A. Via Circonvallazione Est, 1 - 24040 Stezzano (BG)"</f>
        <v>SCHNEIDER ELECTRIC S.P.A. Via Circonvallazione Est, 1 - 24040 Stezzano (BG)</v>
      </c>
      <c r="O964" t="str">
        <f>"SCHNEIDER ELECTRIC S.P.A. Via Circonvallazione Est, 1 - 24040 Stezzano (BG)"</f>
        <v>SCHNEIDER ELECTRIC S.P.A. Via Circonvallazione Est, 1 - 24040 Stezzano (BG)</v>
      </c>
      <c r="P964" t="str">
        <f>"ZE01A4E81F: [17416.97€ ]"</f>
        <v>ZE01A4E81F: [17416.97€ ]</v>
      </c>
      <c r="Q964" t="str">
        <f>""</f>
        <v/>
      </c>
      <c r="R964" t="str">
        <f>""</f>
        <v/>
      </c>
      <c r="S964" t="str">
        <f>""</f>
        <v/>
      </c>
      <c r="T964" t="str">
        <f>"https://portaletrasparenza.consorziobacchiglione.it/dettagli/attodigara/525/fornitura-di-un-armadio-inverter-per-ep1-da-315-kw-per-idrovora-s-margherita.html"</f>
        <v>https://portaletrasparenza.consorziobacchiglione.it/dettagli/attodigara/525/fornitura-di-un-armadio-inverter-per-ep1-da-315-kw-per-idrovora-s-margherita.html</v>
      </c>
      <c r="U964" t="str">
        <f>""</f>
        <v/>
      </c>
      <c r="V964">
        <f>(SUBSTITUTE(Tabella1[[#This Row],[Importo di aggiudicazione]],".",","))-(SUBSTITUTE(  SUBSTITUTE(          SUBSTITUTE(Tabella1[[#This Row],[Dettaglio somme liquidate]],Tabella1[[#This Row],[CIG]]&amp;": [",""),"€ ]",""),".",","))</f>
        <v>2.9999999998835847E-2</v>
      </c>
    </row>
    <row r="965" spans="1:22" x14ac:dyDescent="0.3">
      <c r="A965" t="str">
        <f>"Affidamento"</f>
        <v>Affidamento</v>
      </c>
      <c r="B965" t="str">
        <f>"Fornitura di carburante, presso distributore convenzionato, destinato ad autovetture e strumenti da lavoro"</f>
        <v>Fornitura di carburante, presso distributore convenzionato, destinato ad autovetture e strumenti da lavoro</v>
      </c>
      <c r="C965" t="str">
        <f>"Z783222658"</f>
        <v>Z783222658</v>
      </c>
      <c r="D965" t="str">
        <f>"16/06/2021"</f>
        <v>16/06/2021</v>
      </c>
      <c r="E965" t="str">
        <f>""</f>
        <v/>
      </c>
      <c r="F965" t="str">
        <f>""</f>
        <v/>
      </c>
      <c r="G965" t="str">
        <f>"6000.00"</f>
        <v>6000.00</v>
      </c>
      <c r="H965" t="str">
        <f>"Consorzio di bonifica Bacchiglione"</f>
        <v>Consorzio di bonifica Bacchiglione</v>
      </c>
      <c r="I965" t="str">
        <f>"92223390284"</f>
        <v>92223390284</v>
      </c>
      <c r="J965" t="str">
        <f>"23-AFFIDAMENTO DIRETTO"</f>
        <v>23-AFFIDAMENTO DIRETTO</v>
      </c>
      <c r="K965" t="str">
        <f>"16/06/2021"</f>
        <v>16/06/2021</v>
      </c>
      <c r="L965" t="str">
        <f>"31/12/2021"</f>
        <v>31/12/2021</v>
      </c>
      <c r="M965" t="str">
        <f>""</f>
        <v/>
      </c>
      <c r="N965" t="str">
        <f>"Costantin SPA Via Canareggio 1823-1 - 35040 S.Margherita d'Adige (PD)"</f>
        <v>Costantin SPA Via Canareggio 1823-1 - 35040 S.Margherita d'Adige (PD)</v>
      </c>
      <c r="O965" t="str">
        <f>"Costantin SPA Via Canareggio 1823-1 - 35040 S.Margherita d'Adige (PD)"</f>
        <v>Costantin SPA Via Canareggio 1823-1 - 35040 S.Margherita d'Adige (PD)</v>
      </c>
      <c r="P965" t="str">
        <f>"Z783222658: [3850.98€ ]"</f>
        <v>Z783222658: [3850.98€ ]</v>
      </c>
      <c r="Q965" t="str">
        <f>""</f>
        <v/>
      </c>
      <c r="R965" t="str">
        <f>""</f>
        <v/>
      </c>
      <c r="S965" t="str">
        <f>""</f>
        <v/>
      </c>
      <c r="T965" t="str">
        <f>"https://portaletrasparenza.consorziobacchiglione.it/dettagli/attodigara/6946/fornitura-di-carburante-presso-distributore-convenzionato-destinato-ad-autovetture-e-strumenti-da-lavoro.html"</f>
        <v>https://portaletrasparenza.consorziobacchiglione.it/dettagli/attodigara/6946/fornitura-di-carburante-presso-distributore-convenzionato-destinato-ad-autovetture-e-strumenti-da-lavoro.html</v>
      </c>
      <c r="U965" t="str">
        <f>"https://portaletrasparenza.consorziobacchiglione.it/download/attodigara/6946/63e646e1cfb96.PDF"</f>
        <v>https://portaletrasparenza.consorziobacchiglione.it/download/attodigara/6946/63e646e1cfb96.PDF</v>
      </c>
      <c r="V965">
        <f>(SUBSTITUTE(Tabella1[[#This Row],[Importo di aggiudicazione]],".",","))-(SUBSTITUTE(  SUBSTITUTE(          SUBSTITUTE(Tabella1[[#This Row],[Dettaglio somme liquidate]],Tabella1[[#This Row],[CIG]]&amp;": [",""),"€ ]",""),".",","))</f>
        <v>2149.02</v>
      </c>
    </row>
    <row r="966" spans="1:22" x14ac:dyDescent="0.3">
      <c r="A966" t="str">
        <f>"Affidamento"</f>
        <v>Affidamento</v>
      </c>
      <c r="B966" t="str">
        <f>"Fornitura n.1 licenza Microsoft Office 2016 Prof.plus per uff. Catasto"</f>
        <v>Fornitura n.1 licenza Microsoft Office 2016 Prof.plus per uff. Catasto</v>
      </c>
      <c r="C966" t="str">
        <f>"Z27322503E"</f>
        <v>Z27322503E</v>
      </c>
      <c r="D966" t="str">
        <f>"17/06/2021"</f>
        <v>17/06/2021</v>
      </c>
      <c r="E966" t="str">
        <f>""</f>
        <v/>
      </c>
      <c r="F966" t="str">
        <f>""</f>
        <v/>
      </c>
      <c r="G966" t="str">
        <f>"260.00"</f>
        <v>260.00</v>
      </c>
      <c r="H966" t="str">
        <f>"Consorzio di bonifica Bacchiglione"</f>
        <v>Consorzio di bonifica Bacchiglione</v>
      </c>
      <c r="I966" t="str">
        <f>"92223390284"</f>
        <v>92223390284</v>
      </c>
      <c r="J966" t="str">
        <f>"23-AFFIDAMENTO DIRETTO"</f>
        <v>23-AFFIDAMENTO DIRETTO</v>
      </c>
      <c r="K966" t="str">
        <f>"16/06/2021"</f>
        <v>16/06/2021</v>
      </c>
      <c r="L966" t="str">
        <f>"02/08/2021"</f>
        <v>02/08/2021</v>
      </c>
      <c r="M966" t="str">
        <f>""</f>
        <v/>
      </c>
      <c r="N966" t="str">
        <f>"TPH Elettronica s.a.s. Via N. Pizzolo 51A 35132 Padova"</f>
        <v>TPH Elettronica s.a.s. Via N. Pizzolo 51A 35132 Padova</v>
      </c>
      <c r="O966" t="str">
        <f>"TPH Elettronica s.a.s. Via N. Pizzolo 51A 35132 Padova"</f>
        <v>TPH Elettronica s.a.s. Via N. Pizzolo 51A 35132 Padova</v>
      </c>
      <c r="P966" t="str">
        <f>"Z27322503E: [260.00€ ]"</f>
        <v>Z27322503E: [260.00€ ]</v>
      </c>
      <c r="Q966" t="str">
        <f>""</f>
        <v/>
      </c>
      <c r="R966" t="str">
        <f>""</f>
        <v/>
      </c>
      <c r="S966" t="str">
        <f>""</f>
        <v/>
      </c>
      <c r="T966" t="str">
        <f>"https://portaletrasparenza.consorziobacchiglione.it/dettagli/attodigara/6950/fornitura-n-1-licenza-microsoft-office-2016-prof-plus-per-uff-catasto.html"</f>
        <v>https://portaletrasparenza.consorziobacchiglione.it/dettagli/attodigara/6950/fornitura-n-1-licenza-microsoft-office-2016-prof-plus-per-uff-catasto.html</v>
      </c>
      <c r="U966" t="str">
        <f>"https://portaletrasparenza.consorziobacchiglione.it/download/attodigara/6950/63ac459b4e4d7.PDF"</f>
        <v>https://portaletrasparenza.consorziobacchiglione.it/download/attodigara/6950/63ac459b4e4d7.PDF</v>
      </c>
      <c r="V96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67" spans="1:22" x14ac:dyDescent="0.3">
      <c r="A967" t="str">
        <f>"Affidamento"</f>
        <v>Affidamento</v>
      </c>
      <c r="B967" t="str">
        <f>"Sostituzione Kit guarnizioni presso stabilizzatore DX del mezzo targato: DA564ZE"</f>
        <v>Sostituzione Kit guarnizioni presso stabilizzatore DX del mezzo targato: DA564ZE</v>
      </c>
      <c r="C967" t="str">
        <f>"Z233224B3E"</f>
        <v>Z233224B3E</v>
      </c>
      <c r="D967" t="str">
        <f>"17/06/2021"</f>
        <v>17/06/2021</v>
      </c>
      <c r="E967" t="str">
        <f>""</f>
        <v/>
      </c>
      <c r="F967" t="str">
        <f>""</f>
        <v/>
      </c>
      <c r="G967" t="str">
        <f>"430.00"</f>
        <v>430.00</v>
      </c>
      <c r="H967" t="str">
        <f>"Consorzio di bonifica Bacchiglione"</f>
        <v>Consorzio di bonifica Bacchiglione</v>
      </c>
      <c r="I967" t="str">
        <f>"92223390284"</f>
        <v>92223390284</v>
      </c>
      <c r="J967" t="str">
        <f>"23-AFFIDAMENTO DIRETTO"</f>
        <v>23-AFFIDAMENTO DIRETTO</v>
      </c>
      <c r="K967" t="str">
        <f>"16/06/2021"</f>
        <v>16/06/2021</v>
      </c>
      <c r="L967" t="str">
        <f>"29/06/2021"</f>
        <v>29/06/2021</v>
      </c>
      <c r="M967" t="str">
        <f>""</f>
        <v/>
      </c>
      <c r="N967" t="str">
        <f>"Moressa s.r.l. Via Cuccara 2 35020 Due Carrare PD"</f>
        <v>Moressa s.r.l. Via Cuccara 2 35020 Due Carrare PD</v>
      </c>
      <c r="O967" t="str">
        <f>"Moressa s.r.l. Via Cuccara 2 35020 Due Carrare PD"</f>
        <v>Moressa s.r.l. Via Cuccara 2 35020 Due Carrare PD</v>
      </c>
      <c r="P967" t="str">
        <f>"Z233224B3E: [430.00€ ]"</f>
        <v>Z233224B3E: [430.00€ ]</v>
      </c>
      <c r="Q967" t="str">
        <f>""</f>
        <v/>
      </c>
      <c r="R967" t="str">
        <f>""</f>
        <v/>
      </c>
      <c r="S967" t="str">
        <f>""</f>
        <v/>
      </c>
      <c r="T967" t="str">
        <f>"https://portaletrasparenza.consorziobacchiglione.it/dettagli/attodigara/6949/sostituzione-kit-guarnizioni-presso-stabilizzatore-dx-del-mezzo-targato-da564ze.html"</f>
        <v>https://portaletrasparenza.consorziobacchiglione.it/dettagli/attodigara/6949/sostituzione-kit-guarnizioni-presso-stabilizzatore-dx-del-mezzo-targato-da564ze.html</v>
      </c>
      <c r="U967" t="str">
        <f>"https://portaletrasparenza.consorziobacchiglione.it/download/attodigara/6949/63ac459b15c5b.PDF"</f>
        <v>https://portaletrasparenza.consorziobacchiglione.it/download/attodigara/6949/63ac459b15c5b.PDF</v>
      </c>
      <c r="V96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68" spans="1:22" x14ac:dyDescent="0.3">
      <c r="A968" t="str">
        <f>"Affidamento"</f>
        <v>Affidamento</v>
      </c>
      <c r="B968" t="str">
        <f>"Fornitura nuovo video proiettore per C.O.S.Margherita"</f>
        <v>Fornitura nuovo video proiettore per C.O.S.Margherita</v>
      </c>
      <c r="C968" t="str">
        <f>"Z0A3223F9A"</f>
        <v>Z0A3223F9A</v>
      </c>
      <c r="D968" t="str">
        <f>"17/06/2021"</f>
        <v>17/06/2021</v>
      </c>
      <c r="E968" t="str">
        <f>""</f>
        <v/>
      </c>
      <c r="F968" t="str">
        <f>""</f>
        <v/>
      </c>
      <c r="G968" t="str">
        <f>"2519.00"</f>
        <v>2519.00</v>
      </c>
      <c r="H968" t="str">
        <f>"Consorzio di bonifica Bacchiglione"</f>
        <v>Consorzio di bonifica Bacchiglione</v>
      </c>
      <c r="I968" t="str">
        <f>"92223390284"</f>
        <v>92223390284</v>
      </c>
      <c r="J968" t="str">
        <f>"23-AFFIDAMENTO DIRETTO"</f>
        <v>23-AFFIDAMENTO DIRETTO</v>
      </c>
      <c r="K968" t="str">
        <f>"16/06/2021"</f>
        <v>16/06/2021</v>
      </c>
      <c r="L968" t="str">
        <f>"12/08/2021"</f>
        <v>12/08/2021</v>
      </c>
      <c r="M968" t="str">
        <f>""</f>
        <v/>
      </c>
      <c r="N968" t="str">
        <f>"Picello s.r.l. V.le del Progresso 14A 35026 Conselve PD | Hard Service S.r.l. Via del Progresso, 2 35010 Peraga di Vigonza (PD) | Compumania S.r.l. Via G.Savelli, 3c int.3 Padova"</f>
        <v>Picello s.r.l. V.le del Progresso 14A 35026 Conselve PD | Hard Service S.r.l. Via del Progresso, 2 35010 Peraga di Vigonza (PD) | Compumania S.r.l. Via G.Savelli, 3c int.3 Padova</v>
      </c>
      <c r="O968" t="str">
        <f>"Hard Service S.r.l. Via del Progresso, 2 35010 Peraga di Vigonza (PD)"</f>
        <v>Hard Service S.r.l. Via del Progresso, 2 35010 Peraga di Vigonza (PD)</v>
      </c>
      <c r="P968" t="str">
        <f>"Z0A3223F9A: [2519.00€ ]"</f>
        <v>Z0A3223F9A: [2519.00€ ]</v>
      </c>
      <c r="Q968" t="str">
        <f>""</f>
        <v/>
      </c>
      <c r="R968" t="str">
        <f>""</f>
        <v/>
      </c>
      <c r="S968" t="str">
        <f>""</f>
        <v/>
      </c>
      <c r="T968" t="str">
        <f>"https://portaletrasparenza.consorziobacchiglione.it/dettagli/attodigara/6947/fornitura-nuovo-video-proiettore-per-c-o-s-margherita.html"</f>
        <v>https://portaletrasparenza.consorziobacchiglione.it/dettagli/attodigara/6947/fornitura-nuovo-video-proiettore-per-c-o-s-margherita.html</v>
      </c>
      <c r="U968" t="str">
        <f>"https://portaletrasparenza.consorziobacchiglione.it/download/attodigara/6947/63ac459ad1526.PDF"</f>
        <v>https://portaletrasparenza.consorziobacchiglione.it/download/attodigara/6947/63ac459ad1526.PDF</v>
      </c>
      <c r="V9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69" spans="1:22" x14ac:dyDescent="0.3">
      <c r="A969" t="str">
        <f>"Affidamento"</f>
        <v>Affidamento</v>
      </c>
      <c r="B969" t="str">
        <f>"Fornitura materiale elettrico per quadri presso sostegno delle Basse, Piccolo, Governo (Ricicleria)"</f>
        <v>Fornitura materiale elettrico per quadri presso sostegno delle Basse, Piccolo, Governo (Ricicleria)</v>
      </c>
      <c r="C969" t="str">
        <f>"ZD432249ED"</f>
        <v>ZD432249ED</v>
      </c>
      <c r="D969" t="str">
        <f>"18/06/2021"</f>
        <v>18/06/2021</v>
      </c>
      <c r="E969" t="str">
        <f>""</f>
        <v/>
      </c>
      <c r="F969" t="str">
        <f>""</f>
        <v/>
      </c>
      <c r="G969" t="str">
        <f>"12594.44"</f>
        <v>12594.44</v>
      </c>
      <c r="H969" t="str">
        <f>"Consorzio di bonifica Bacchiglione"</f>
        <v>Consorzio di bonifica Bacchiglione</v>
      </c>
      <c r="I969" t="str">
        <f>"92223390284"</f>
        <v>92223390284</v>
      </c>
      <c r="J969" t="str">
        <f>"23-AFFIDAMENTO DIRETTO"</f>
        <v>23-AFFIDAMENTO DIRETTO</v>
      </c>
      <c r="K969" t="str">
        <f>"16/06/2021"</f>
        <v>16/06/2021</v>
      </c>
      <c r="L969" t="str">
        <f>"30/09/2021"</f>
        <v>30/09/2021</v>
      </c>
      <c r="M969" t="str">
        <f>""</f>
        <v/>
      </c>
      <c r="N969" t="str">
        <f>"Elettroveneta S.p.A. Viale della Navigazione Interna, 48 - 35129 Padova (PD)"</f>
        <v>Elettroveneta S.p.A. Viale della Navigazione Interna, 48 - 35129 Padova (PD)</v>
      </c>
      <c r="O969" t="str">
        <f>"Elettroveneta S.p.A. Viale della Navigazione Interna, 48 - 35129 Padova (PD)"</f>
        <v>Elettroveneta S.p.A. Viale della Navigazione Interna, 48 - 35129 Padova (PD)</v>
      </c>
      <c r="P969" t="s">
        <v>158</v>
      </c>
      <c r="Q969" t="str">
        <f>""</f>
        <v/>
      </c>
      <c r="R969" t="str">
        <f>""</f>
        <v/>
      </c>
      <c r="S969" t="str">
        <f>""</f>
        <v/>
      </c>
      <c r="T969" t="str">
        <f>"https://portaletrasparenza.consorziobacchiglione.it/dettagli/attodigara/6948/fornitura-materiale-elettrico-per-quadri-presso-sostegno-delle-basse-piccolo-governo-ricicleria.html"</f>
        <v>https://portaletrasparenza.consorziobacchiglione.it/dettagli/attodigara/6948/fornitura-materiale-elettrico-per-quadri-presso-sostegno-delle-basse-piccolo-governo-ricicleria.html</v>
      </c>
      <c r="U969" t="str">
        <f>"https://portaletrasparenza.consorziobacchiglione.it/download/attodigara/6948/63ac459b86d5c.PDF"</f>
        <v>https://portaletrasparenza.consorziobacchiglione.it/download/attodigara/6948/63ac459b86d5c.PDF</v>
      </c>
      <c r="V96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70" spans="1:22" x14ac:dyDescent="0.3">
      <c r="A970" t="str">
        <f>"Affidamento"</f>
        <v>Affidamento</v>
      </c>
      <c r="B970" t="str">
        <f>"Fornitura materiale elettrico per sede Consorziale"</f>
        <v>Fornitura materiale elettrico per sede Consorziale</v>
      </c>
      <c r="C970" t="str">
        <f>"Z8E3225479"</f>
        <v>Z8E3225479</v>
      </c>
      <c r="D970" t="str">
        <f>"18/06/2021"</f>
        <v>18/06/2021</v>
      </c>
      <c r="E970" t="str">
        <f>""</f>
        <v/>
      </c>
      <c r="F970" t="str">
        <f>""</f>
        <v/>
      </c>
      <c r="G970" t="str">
        <f>"221.86"</f>
        <v>221.86</v>
      </c>
      <c r="H970" t="str">
        <f>"Consorzio di bonifica Bacchiglione"</f>
        <v>Consorzio di bonifica Bacchiglione</v>
      </c>
      <c r="I970" t="str">
        <f>"92223390284"</f>
        <v>92223390284</v>
      </c>
      <c r="J970" t="str">
        <f>"23-AFFIDAMENTO DIRETTO"</f>
        <v>23-AFFIDAMENTO DIRETTO</v>
      </c>
      <c r="K970" t="str">
        <f>"16/06/2021"</f>
        <v>16/06/2021</v>
      </c>
      <c r="L970" t="str">
        <f>"31/07/2021"</f>
        <v>31/07/2021</v>
      </c>
      <c r="M970" t="str">
        <f>""</f>
        <v/>
      </c>
      <c r="N970" t="str">
        <f>"Elettroveneta S.p.A. Viale della Navigazione Interna, 48 - 35129 Padova (PD)"</f>
        <v>Elettroveneta S.p.A. Viale della Navigazione Interna, 48 - 35129 Padova (PD)</v>
      </c>
      <c r="O970" t="str">
        <f>"Elettroveneta S.p.A. Viale della Navigazione Interna, 48 - 35129 Padova (PD)"</f>
        <v>Elettroveneta S.p.A. Viale della Navigazione Interna, 48 - 35129 Padova (PD)</v>
      </c>
      <c r="P970" t="str">
        <f>"Z8E3225479: [221.86€ ]"</f>
        <v>Z8E3225479: [221.86€ ]</v>
      </c>
      <c r="Q970" t="str">
        <f>""</f>
        <v/>
      </c>
      <c r="R970" t="str">
        <f>""</f>
        <v/>
      </c>
      <c r="S970" t="str">
        <f>""</f>
        <v/>
      </c>
      <c r="T970" t="str">
        <f>"https://portaletrasparenza.consorziobacchiglione.it/dettagli/attodigara/6951/fornitura-materiale-elettrico-per-sede-consorziale.html"</f>
        <v>https://portaletrasparenza.consorziobacchiglione.it/dettagli/attodigara/6951/fornitura-materiale-elettrico-per-sede-consorziale.html</v>
      </c>
      <c r="U970" t="str">
        <f>"https://portaletrasparenza.consorziobacchiglione.it/download/attodigara/6951/63ac459bbfbc0.PDF"</f>
        <v>https://portaletrasparenza.consorziobacchiglione.it/download/attodigara/6951/63ac459bbfbc0.PDF</v>
      </c>
      <c r="V97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71" spans="1:22" x14ac:dyDescent="0.3">
      <c r="A971" t="str">
        <f>"Affidamento"</f>
        <v>Affidamento</v>
      </c>
      <c r="B971" t="str">
        <f>"Redazione Dichiarazione di Adeguatezza per adeguamento impianto di M.T.. - Processo ID 011-14."</f>
        <v>Redazione Dichiarazione di Adeguatezza per adeguamento impianto di M.T.. - Processo ID 011-14.</v>
      </c>
      <c r="C971" t="str">
        <f>"Z1E1AEEABE"</f>
        <v>Z1E1AEEABE</v>
      </c>
      <c r="D971" t="str">
        <f>"04/11/2021"</f>
        <v>04/11/2021</v>
      </c>
      <c r="E971" t="str">
        <f>""</f>
        <v/>
      </c>
      <c r="F971" t="str">
        <f>""</f>
        <v/>
      </c>
      <c r="G971" t="str">
        <f>"690.00"</f>
        <v>690.00</v>
      </c>
      <c r="H971" t="str">
        <f>"Consorzio di bonifica Bacchiglione"</f>
        <v>Consorzio di bonifica Bacchiglione</v>
      </c>
      <c r="I971" t="str">
        <f>"92223390284"</f>
        <v>92223390284</v>
      </c>
      <c r="J971" t="str">
        <f>"23-AFFIDAMENTO DIRETTO"</f>
        <v>23-AFFIDAMENTO DIRETTO</v>
      </c>
      <c r="K971" t="str">
        <f>"16/08/2021"</f>
        <v>16/08/2021</v>
      </c>
      <c r="L971" t="str">
        <f>"03/10/2021"</f>
        <v>03/10/2021</v>
      </c>
      <c r="M971" t="str">
        <f>""</f>
        <v/>
      </c>
      <c r="N971" t="str">
        <f>"Picello s.r.l."</f>
        <v>Picello s.r.l.</v>
      </c>
      <c r="O971" t="str">
        <f>"Picello s.r.l."</f>
        <v>Picello s.r.l.</v>
      </c>
      <c r="P971" t="str">
        <f>"Z1E1AEEABE: [690.00€ ]"</f>
        <v>Z1E1AEEABE: [690.00€ ]</v>
      </c>
      <c r="Q971" t="str">
        <f>""</f>
        <v/>
      </c>
      <c r="R971" t="str">
        <f>""</f>
        <v/>
      </c>
      <c r="S971" t="str">
        <f>""</f>
        <v/>
      </c>
      <c r="T971" t="str">
        <f>"https://portaletrasparenza.consorziobacchiglione.it/dettagli/attodigara/673/redazione-dichiarazione-di-adeguatezza-per-adeguamento-impianto-di-m-t-processo-id-011-14.html"</f>
        <v>https://portaletrasparenza.consorziobacchiglione.it/dettagli/attodigara/673/redazione-dichiarazione-di-adeguatezza-per-adeguamento-impianto-di-m-t-processo-id-011-14.html</v>
      </c>
      <c r="U971" t="str">
        <f>""</f>
        <v/>
      </c>
      <c r="V97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72" spans="1:22" x14ac:dyDescent="0.3">
      <c r="A972" t="str">
        <f>"Affidamento"</f>
        <v>Affidamento</v>
      </c>
      <c r="B972" t="str">
        <f>"Contratto di assistenza hardware per 40 ore."</f>
        <v>Contratto di assistenza hardware per 40 ore.</v>
      </c>
      <c r="C972" t="str">
        <f>"ZE41B36C32"</f>
        <v>ZE41B36C32</v>
      </c>
      <c r="D972" t="str">
        <f>"04/11/2021"</f>
        <v>04/11/2021</v>
      </c>
      <c r="E972" t="str">
        <f>""</f>
        <v/>
      </c>
      <c r="F972" t="str">
        <f>""</f>
        <v/>
      </c>
      <c r="G972" t="str">
        <f>"1800.00"</f>
        <v>1800.00</v>
      </c>
      <c r="H972" t="str">
        <f>"Consorzio di bonifica Bacchiglione"</f>
        <v>Consorzio di bonifica Bacchiglione</v>
      </c>
      <c r="I972" t="str">
        <f>"92223390284"</f>
        <v>92223390284</v>
      </c>
      <c r="J972" t="str">
        <f>"23-AFFIDAMENTO DIRETTO"</f>
        <v>23-AFFIDAMENTO DIRETTO</v>
      </c>
      <c r="K972" t="str">
        <f>"16/09/2021"</f>
        <v>16/09/2021</v>
      </c>
      <c r="L972" t="str">
        <f>"14/10/2021"</f>
        <v>14/10/2021</v>
      </c>
      <c r="M972" t="str">
        <f>""</f>
        <v/>
      </c>
      <c r="N972" t="str">
        <f>"TPH Elettronica s.a.s. Via N. Pizzolo 51A 35132 Padova"</f>
        <v>TPH Elettronica s.a.s. Via N. Pizzolo 51A 35132 Padova</v>
      </c>
      <c r="O972" t="str">
        <f>"TPH Elettronica s.a.s. Via N. Pizzolo 51A 35132 Padova"</f>
        <v>TPH Elettronica s.a.s. Via N. Pizzolo 51A 35132 Padova</v>
      </c>
      <c r="P972" t="str">
        <f>"ZE41B36C32: [1800.00€ ]"</f>
        <v>ZE41B36C32: [1800.00€ ]</v>
      </c>
      <c r="Q972" t="str">
        <f>""</f>
        <v/>
      </c>
      <c r="R972" t="str">
        <f>""</f>
        <v/>
      </c>
      <c r="S972" t="str">
        <f>""</f>
        <v/>
      </c>
      <c r="T972" t="str">
        <f>"https://portaletrasparenza.consorziobacchiglione.it/dettagli/attodigara/746/contratto-di-assistenza-hardware-per-40-ore.html"</f>
        <v>https://portaletrasparenza.consorziobacchiglione.it/dettagli/attodigara/746/contratto-di-assistenza-hardware-per-40-ore.html</v>
      </c>
      <c r="U972" t="str">
        <f>""</f>
        <v/>
      </c>
      <c r="V97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73" spans="1:22" x14ac:dyDescent="0.3">
      <c r="A973" t="str">
        <f>"Affidamento"</f>
        <v>Affidamento</v>
      </c>
      <c r="B973" t="str">
        <f>"Fornitura n 1 fusto da litri 200 di Urea per mezzo C.O.S.Margherita."</f>
        <v>Fornitura n 1 fusto da litri 200 di Urea per mezzo C.O.S.Margherita.</v>
      </c>
      <c r="C973" t="str">
        <f>"ZA51B369EC"</f>
        <v>ZA51B369EC</v>
      </c>
      <c r="D973" t="str">
        <f>"04/11/2021"</f>
        <v>04/11/2021</v>
      </c>
      <c r="E973" t="str">
        <f>""</f>
        <v/>
      </c>
      <c r="F973" t="str">
        <f>""</f>
        <v/>
      </c>
      <c r="G973" t="str">
        <f>"165.00"</f>
        <v>165.00</v>
      </c>
      <c r="H973" t="str">
        <f>"Consorzio di bonifica Bacchiglione"</f>
        <v>Consorzio di bonifica Bacchiglione</v>
      </c>
      <c r="I973" t="str">
        <f>"92223390284"</f>
        <v>92223390284</v>
      </c>
      <c r="J973" t="str">
        <f>"23-AFFIDAMENTO DIRETTO"</f>
        <v>23-AFFIDAMENTO DIRETTO</v>
      </c>
      <c r="K973" t="str">
        <f>"16/09/2021"</f>
        <v>16/09/2021</v>
      </c>
      <c r="L973" t="str">
        <f>"09/11/2021"</f>
        <v>09/11/2021</v>
      </c>
      <c r="M973" t="str">
        <f>""</f>
        <v/>
      </c>
      <c r="N973" t="str">
        <f>"Consorzio Agrario del Nordest Via Francia 2 37135 Verona"</f>
        <v>Consorzio Agrario del Nordest Via Francia 2 37135 Verona</v>
      </c>
      <c r="O973" t="str">
        <f>"Consorzio Agrario del Nordest Via Francia 2 37135 Verona"</f>
        <v>Consorzio Agrario del Nordest Via Francia 2 37135 Verona</v>
      </c>
      <c r="P973" t="str">
        <f>"ZA51B369EC: [165.00€ ]"</f>
        <v>ZA51B369EC: [165.00€ ]</v>
      </c>
      <c r="Q973" t="str">
        <f>""</f>
        <v/>
      </c>
      <c r="R973" t="str">
        <f>""</f>
        <v/>
      </c>
      <c r="S973" t="str">
        <f>""</f>
        <v/>
      </c>
      <c r="T973" t="str">
        <f>"https://portaletrasparenza.consorziobacchiglione.it/dettagli/attodigara/745/fornitura-n-1-fusto-da-litri-200-di-urea-per-mezzo-c-o-s-margherita.html"</f>
        <v>https://portaletrasparenza.consorziobacchiglione.it/dettagli/attodigara/745/fornitura-n-1-fusto-da-litri-200-di-urea-per-mezzo-c-o-s-margherita.html</v>
      </c>
      <c r="U973" t="str">
        <f>""</f>
        <v/>
      </c>
      <c r="V97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74" spans="1:22" x14ac:dyDescent="0.3">
      <c r="A974" t="str">
        <f>"Affidamento"</f>
        <v>Affidamento</v>
      </c>
      <c r="B974" t="str">
        <f>"Trasporto escavatore a noleggio da scolo Altipiano a Selvazzano (Sorme Noleggi)"</f>
        <v>Trasporto escavatore a noleggio da scolo Altipiano a Selvazzano (Sorme Noleggi)</v>
      </c>
      <c r="C974" t="str">
        <f>"Z2C1B368AF"</f>
        <v>Z2C1B368AF</v>
      </c>
      <c r="D974" t="str">
        <f>"04/11/2021"</f>
        <v>04/11/2021</v>
      </c>
      <c r="E974" t="str">
        <f>""</f>
        <v/>
      </c>
      <c r="F974" t="str">
        <f>""</f>
        <v/>
      </c>
      <c r="G974" t="str">
        <f>"275.00"</f>
        <v>275.00</v>
      </c>
      <c r="H974" t="str">
        <f>"Consorzio di bonifica Bacchiglione"</f>
        <v>Consorzio di bonifica Bacchiglione</v>
      </c>
      <c r="I974" t="str">
        <f>"92223390284"</f>
        <v>92223390284</v>
      </c>
      <c r="J974" t="str">
        <f>"23-AFFIDAMENTO DIRETTO"</f>
        <v>23-AFFIDAMENTO DIRETTO</v>
      </c>
      <c r="K974" t="str">
        <f>"16/09/2021"</f>
        <v>16/09/2021</v>
      </c>
      <c r="L974" t="str">
        <f>"27/10/2021"</f>
        <v>27/10/2021</v>
      </c>
      <c r="M974" t="str">
        <f>""</f>
        <v/>
      </c>
      <c r="N974" t="str">
        <f>"Trovò s.r.l. Via Idrovora, 3 - 35020 Codevigo (PD)"</f>
        <v>Trovò s.r.l. Via Idrovora, 3 - 35020 Codevigo (PD)</v>
      </c>
      <c r="O974" t="str">
        <f>"Trovò s.r.l. Via Idrovora, 3 - 35020 Codevigo (PD)"</f>
        <v>Trovò s.r.l. Via Idrovora, 3 - 35020 Codevigo (PD)</v>
      </c>
      <c r="P974" t="str">
        <f>"Z2C1B368AF: [275.00€ ]"</f>
        <v>Z2C1B368AF: [275.00€ ]</v>
      </c>
      <c r="Q974" t="str">
        <f>""</f>
        <v/>
      </c>
      <c r="R974" t="str">
        <f>""</f>
        <v/>
      </c>
      <c r="S974" t="str">
        <f>""</f>
        <v/>
      </c>
      <c r="T974" t="str">
        <f>"https://portaletrasparenza.consorziobacchiglione.it/dettagli/attodigara/744/trasporto-escavatore-a-noleggio-da-scolo-altipiano-a-selvazzano-sorme-noleggi.html"</f>
        <v>https://portaletrasparenza.consorziobacchiglione.it/dettagli/attodigara/744/trasporto-escavatore-a-noleggio-da-scolo-altipiano-a-selvazzano-sorme-noleggi.html</v>
      </c>
      <c r="U974" t="str">
        <f>""</f>
        <v/>
      </c>
      <c r="V97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75" spans="1:22" x14ac:dyDescent="0.3">
      <c r="A975" t="str">
        <f>"Affidamento"</f>
        <v>Affidamento</v>
      </c>
      <c r="B975" t="str">
        <f>"Trasporto escavatore cingolato R 904 da via Altipiano a C.O.S.Margherita."</f>
        <v>Trasporto escavatore cingolato R 904 da via Altipiano a C.O.S.Margherita.</v>
      </c>
      <c r="C975" t="str">
        <f>"Z631B367D2"</f>
        <v>Z631B367D2</v>
      </c>
      <c r="D975" t="str">
        <f>"04/11/2021"</f>
        <v>04/11/2021</v>
      </c>
      <c r="E975" t="str">
        <f>""</f>
        <v/>
      </c>
      <c r="F975" t="str">
        <f>""</f>
        <v/>
      </c>
      <c r="G975" t="str">
        <f>"55.00"</f>
        <v>55.00</v>
      </c>
      <c r="H975" t="str">
        <f>"Consorzio di bonifica Bacchiglione"</f>
        <v>Consorzio di bonifica Bacchiglione</v>
      </c>
      <c r="I975" t="str">
        <f>"92223390284"</f>
        <v>92223390284</v>
      </c>
      <c r="J975" t="str">
        <f>"23-AFFIDAMENTO DIRETTO"</f>
        <v>23-AFFIDAMENTO DIRETTO</v>
      </c>
      <c r="K975" t="str">
        <f>"16/09/2021"</f>
        <v>16/09/2021</v>
      </c>
      <c r="L975" t="str">
        <f>"27/10/2021"</f>
        <v>27/10/2021</v>
      </c>
      <c r="M975" t="str">
        <f>""</f>
        <v/>
      </c>
      <c r="N975" t="str">
        <f>"Trovò s.r.l. Via Idrovora, 3 - 35020 Codevigo (PD)"</f>
        <v>Trovò s.r.l. Via Idrovora, 3 - 35020 Codevigo (PD)</v>
      </c>
      <c r="O975" t="str">
        <f>"Trovò s.r.l. Via Idrovora, 3 - 35020 Codevigo (PD)"</f>
        <v>Trovò s.r.l. Via Idrovora, 3 - 35020 Codevigo (PD)</v>
      </c>
      <c r="P975" t="str">
        <f>"Z631B367D2: [55.00€ ]"</f>
        <v>Z631B367D2: [55.00€ ]</v>
      </c>
      <c r="Q975" t="str">
        <f>""</f>
        <v/>
      </c>
      <c r="R975" t="str">
        <f>""</f>
        <v/>
      </c>
      <c r="S975" t="str">
        <f>""</f>
        <v/>
      </c>
      <c r="T975" t="str">
        <f>"https://portaletrasparenza.consorziobacchiglione.it/dettagli/attodigara/743/trasporto-escavatore-cingolato-r-904-da-via-altipiano-a-c-o-s-margherita.html"</f>
        <v>https://portaletrasparenza.consorziobacchiglione.it/dettagli/attodigara/743/trasporto-escavatore-cingolato-r-904-da-via-altipiano-a-c-o-s-margherita.html</v>
      </c>
      <c r="U975" t="str">
        <f>""</f>
        <v/>
      </c>
      <c r="V97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76" spans="1:22" x14ac:dyDescent="0.3">
      <c r="A976" t="str">
        <f>"Affidamento"</f>
        <v>Affidamento</v>
      </c>
      <c r="B976" t="str">
        <f>"Servizio di progettazione grafica e stampa di volantini informativi per la settimana della bonifica."</f>
        <v>Servizio di progettazione grafica e stampa di volantini informativi per la settimana della bonifica.</v>
      </c>
      <c r="C976" t="str">
        <f>"Z3B330E94C"</f>
        <v>Z3B330E94C</v>
      </c>
      <c r="D976" t="str">
        <f>"16/09/2021"</f>
        <v>16/09/2021</v>
      </c>
      <c r="E976" t="str">
        <f>""</f>
        <v/>
      </c>
      <c r="F976" t="str">
        <f>""</f>
        <v/>
      </c>
      <c r="G976" t="str">
        <f>"145.00"</f>
        <v>145.00</v>
      </c>
      <c r="H976" t="str">
        <f>"Consorzio di bonifica Bacchiglione"</f>
        <v>Consorzio di bonifica Bacchiglione</v>
      </c>
      <c r="I976" t="str">
        <f>"92223390284"</f>
        <v>92223390284</v>
      </c>
      <c r="J976" t="str">
        <f>"23-AFFIDAMENTO DIRETTO"</f>
        <v>23-AFFIDAMENTO DIRETTO</v>
      </c>
      <c r="K976" t="str">
        <f>"16/09/2021"</f>
        <v>16/09/2021</v>
      </c>
      <c r="L976" t="str">
        <f>"19/10/2021"</f>
        <v>19/10/2021</v>
      </c>
      <c r="M976" t="str">
        <f>""</f>
        <v/>
      </c>
      <c r="N976" t="str">
        <f>"CLEUP COOPERATIVA LIBRARIA EDITRICE"</f>
        <v>CLEUP COOPERATIVA LIBRARIA EDITRICE</v>
      </c>
      <c r="O976" t="str">
        <f>"CLEUP COOPERATIVA LIBRARIA EDITRICE"</f>
        <v>CLEUP COOPERATIVA LIBRARIA EDITRICE</v>
      </c>
      <c r="P976" t="str">
        <f>"Z3B330E94C: [145.00€ ]"</f>
        <v>Z3B330E94C: [145.00€ ]</v>
      </c>
      <c r="Q976" t="str">
        <f>""</f>
        <v/>
      </c>
      <c r="R976" t="str">
        <f>""</f>
        <v/>
      </c>
      <c r="S976" t="str">
        <f>""</f>
        <v/>
      </c>
      <c r="T976" t="str">
        <f>"https://portaletrasparenza.consorziobacchiglione.it/dettagli/attodigara/7134/servizio-di-progettazione-grafica-e-stampa-di-volantini-informativi-per-la-settimana-della-bonifica.html"</f>
        <v>https://portaletrasparenza.consorziobacchiglione.it/dettagli/attodigara/7134/servizio-di-progettazione-grafica-e-stampa-di-volantini-informativi-per-la-settimana-della-bonifica.html</v>
      </c>
      <c r="U976" t="str">
        <f>"https://portaletrasparenza.consorziobacchiglione.it/download/attodigara/7134/63ac45c4272e1.PDF"</f>
        <v>https://portaletrasparenza.consorziobacchiglione.it/download/attodigara/7134/63ac45c4272e1.PDF</v>
      </c>
      <c r="V97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77" spans="1:22" x14ac:dyDescent="0.3">
      <c r="A977" t="str">
        <f>"Affidamento"</f>
        <v>Affidamento</v>
      </c>
      <c r="B977" t="str">
        <f>"Fornitura materiale elettrico per vari Impianti"</f>
        <v>Fornitura materiale elettrico per vari Impianti</v>
      </c>
      <c r="C977" t="str">
        <f>"Z5C33108BE"</f>
        <v>Z5C33108BE</v>
      </c>
      <c r="D977" t="str">
        <f>"17/09/2021"</f>
        <v>17/09/2021</v>
      </c>
      <c r="E977" t="str">
        <f>""</f>
        <v/>
      </c>
      <c r="F977" t="str">
        <f>""</f>
        <v/>
      </c>
      <c r="G977" t="str">
        <f>"2794.00"</f>
        <v>2794.00</v>
      </c>
      <c r="H977" t="str">
        <f>"Consorzio di bonifica Bacchiglione"</f>
        <v>Consorzio di bonifica Bacchiglione</v>
      </c>
      <c r="I977" t="str">
        <f>"92223390284"</f>
        <v>92223390284</v>
      </c>
      <c r="J977" t="str">
        <f>"23-AFFIDAMENTO DIRETTO"</f>
        <v>23-AFFIDAMENTO DIRETTO</v>
      </c>
      <c r="K977" t="str">
        <f>"16/09/2021"</f>
        <v>16/09/2021</v>
      </c>
      <c r="L977" t="str">
        <f>"30/10/2021"</f>
        <v>30/10/2021</v>
      </c>
      <c r="M977" t="str">
        <f>""</f>
        <v/>
      </c>
      <c r="N977" t="str">
        <f>"Marchiol S.P.A. Viale della Repubblica 41 31020 sede legale Villorba TV"</f>
        <v>Marchiol S.P.A. Viale della Repubblica 41 31020 sede legale Villorba TV</v>
      </c>
      <c r="O977" t="str">
        <f>"Marchiol S.P.A. Viale della Repubblica 41 31020 sede legale Villorba TV"</f>
        <v>Marchiol S.P.A. Viale della Repubblica 41 31020 sede legale Villorba TV</v>
      </c>
      <c r="P977" t="s">
        <v>208</v>
      </c>
      <c r="Q977" t="str">
        <f>""</f>
        <v/>
      </c>
      <c r="R977" t="str">
        <f>""</f>
        <v/>
      </c>
      <c r="S977" t="str">
        <f>""</f>
        <v/>
      </c>
      <c r="T977" t="str">
        <f>"https://portaletrasparenza.consorziobacchiglione.it/dettagli/attodigara/7137/fornitura-materiale-elettrico-per-vari-impianti.html"</f>
        <v>https://portaletrasparenza.consorziobacchiglione.it/dettagli/attodigara/7137/fornitura-materiale-elettrico-per-vari-impianti.html</v>
      </c>
      <c r="U977" t="str">
        <f>"https://portaletrasparenza.consorziobacchiglione.it/download/attodigara/7137/63ac45c524852.PDF"</f>
        <v>https://portaletrasparenza.consorziobacchiglione.it/download/attodigara/7137/63ac45c524852.PDF</v>
      </c>
      <c r="V9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78" spans="1:22" x14ac:dyDescent="0.3">
      <c r="A978" t="str">
        <f>"Affidamento"</f>
        <v>Affidamento</v>
      </c>
      <c r="B978" t="str">
        <f>"Fornitura ricambi per braccio decespugliatore presso Bacino Pratiarcati"</f>
        <v>Fornitura ricambi per braccio decespugliatore presso Bacino Pratiarcati</v>
      </c>
      <c r="C978" t="str">
        <f>"ZC73310635"</f>
        <v>ZC73310635</v>
      </c>
      <c r="D978" t="str">
        <f>"17/09/2021"</f>
        <v>17/09/2021</v>
      </c>
      <c r="E978" t="str">
        <f>""</f>
        <v/>
      </c>
      <c r="F978" t="str">
        <f>""</f>
        <v/>
      </c>
      <c r="G978" t="str">
        <f>"1671.60"</f>
        <v>1671.60</v>
      </c>
      <c r="H978" t="str">
        <f>"Consorzio di bonifica Bacchiglione"</f>
        <v>Consorzio di bonifica Bacchiglione</v>
      </c>
      <c r="I978" t="str">
        <f>"92223390284"</f>
        <v>92223390284</v>
      </c>
      <c r="J978" t="str">
        <f>"23-AFFIDAMENTO DIRETTO"</f>
        <v>23-AFFIDAMENTO DIRETTO</v>
      </c>
      <c r="K978" t="str">
        <f>"16/09/2021"</f>
        <v>16/09/2021</v>
      </c>
      <c r="L978" t="str">
        <f>"24/09/2021"</f>
        <v>24/09/2021</v>
      </c>
      <c r="M978" t="str">
        <f>""</f>
        <v/>
      </c>
      <c r="N978" t="str">
        <f>"Hymach s.r.l. Viale del Commercio 73 45039 Stienta RO"</f>
        <v>Hymach s.r.l. Viale del Commercio 73 45039 Stienta RO</v>
      </c>
      <c r="O978" t="str">
        <f>"Hymach s.r.l. Viale del Commercio 73 45039 Stienta RO"</f>
        <v>Hymach s.r.l. Viale del Commercio 73 45039 Stienta RO</v>
      </c>
      <c r="P978" t="s">
        <v>226</v>
      </c>
      <c r="Q978" t="str">
        <f>""</f>
        <v/>
      </c>
      <c r="R978" t="str">
        <f>""</f>
        <v/>
      </c>
      <c r="S978" t="str">
        <f>""</f>
        <v/>
      </c>
      <c r="T978" t="str">
        <f>"https://portaletrasparenza.consorziobacchiglione.it/dettagli/attodigara/7135/fornitura-ricambi-per-braccio-decespugliatore-presso-bacino-pratiarcati.html"</f>
        <v>https://portaletrasparenza.consorziobacchiglione.it/dettagli/attodigara/7135/fornitura-ricambi-per-braccio-decespugliatore-presso-bacino-pratiarcati.html</v>
      </c>
      <c r="U978" t="str">
        <f>"https://portaletrasparenza.consorziobacchiglione.it/download/attodigara/7135/63ac45c49897e.PDF"</f>
        <v>https://portaletrasparenza.consorziobacchiglione.it/download/attodigara/7135/63ac45c49897e.PDF</v>
      </c>
      <c r="V97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79" spans="1:22" x14ac:dyDescent="0.3">
      <c r="A979" t="str">
        <f>"Affidamento"</f>
        <v>Affidamento</v>
      </c>
      <c r="B979" t="str">
        <f>"Riparazione motosega Stihl MS 290 presso C.O.S.Margherita"</f>
        <v>Riparazione motosega Stihl MS 290 presso C.O.S.Margherita</v>
      </c>
      <c r="C979" t="str">
        <f>"Z733312388"</f>
        <v>Z733312388</v>
      </c>
      <c r="D979" t="str">
        <f>"17/09/2021"</f>
        <v>17/09/2021</v>
      </c>
      <c r="E979" t="str">
        <f>""</f>
        <v/>
      </c>
      <c r="F979" t="str">
        <f>""</f>
        <v/>
      </c>
      <c r="G979" t="str">
        <f>"28.69"</f>
        <v>28.69</v>
      </c>
      <c r="H979" t="str">
        <f>"Consorzio di bonifica Bacchiglione"</f>
        <v>Consorzio di bonifica Bacchiglione</v>
      </c>
      <c r="I979" t="str">
        <f>"92223390284"</f>
        <v>92223390284</v>
      </c>
      <c r="J979" t="str">
        <f>"23-AFFIDAMENTO DIRETTO"</f>
        <v>23-AFFIDAMENTO DIRETTO</v>
      </c>
      <c r="K979" t="str">
        <f>"16/09/2021"</f>
        <v>16/09/2021</v>
      </c>
      <c r="L979" t="str">
        <f>"30/09/2021"</f>
        <v>30/09/2021</v>
      </c>
      <c r="M979" t="str">
        <f>""</f>
        <v/>
      </c>
      <c r="N979" t="str">
        <f>"Mini Motor di Vettorato Gabriele Via Puccini 3 35020 Brugine PD"</f>
        <v>Mini Motor di Vettorato Gabriele Via Puccini 3 35020 Brugine PD</v>
      </c>
      <c r="O979" t="str">
        <f>"Mini Motor di Vettorato Gabriele Via Puccini 3 35020 Brugine PD"</f>
        <v>Mini Motor di Vettorato Gabriele Via Puccini 3 35020 Brugine PD</v>
      </c>
      <c r="P979" t="s">
        <v>346</v>
      </c>
      <c r="Q979" t="str">
        <f>""</f>
        <v/>
      </c>
      <c r="R979" t="str">
        <f>""</f>
        <v/>
      </c>
      <c r="S979" t="str">
        <f>""</f>
        <v/>
      </c>
      <c r="T979" t="str">
        <f>"https://portaletrasparenza.consorziobacchiglione.it/dettagli/attodigara/7140/riparazione-motosega-stihl-ms-290-presso-c-o-s-margherita.html"</f>
        <v>https://portaletrasparenza.consorziobacchiglione.it/dettagli/attodigara/7140/riparazione-motosega-stihl-ms-290-presso-c-o-s-margherita.html</v>
      </c>
      <c r="U979" t="str">
        <f>"https://portaletrasparenza.consorziobacchiglione.it/download/attodigara/7140/63ac45c5d0206.PDF"</f>
        <v>https://portaletrasparenza.consorziobacchiglione.it/download/attodigara/7140/63ac45c5d0206.PDF</v>
      </c>
      <c r="V9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80" spans="1:22" x14ac:dyDescent="0.3">
      <c r="A980" t="str">
        <f>"Affidamento"</f>
        <v>Affidamento</v>
      </c>
      <c r="B980" t="str">
        <f>"Fornitura stampante per etichettare cavi quadri elettrici"</f>
        <v>Fornitura stampante per etichettare cavi quadri elettrici</v>
      </c>
      <c r="C980" t="str">
        <f>"Z83331339C"</f>
        <v>Z83331339C</v>
      </c>
      <c r="D980" t="str">
        <f>"17/09/2021"</f>
        <v>17/09/2021</v>
      </c>
      <c r="E980" t="str">
        <f>""</f>
        <v/>
      </c>
      <c r="F980" t="str">
        <f>""</f>
        <v/>
      </c>
      <c r="G980" t="str">
        <f>"2980.00"</f>
        <v>2980.00</v>
      </c>
      <c r="H980" t="str">
        <f>"Consorzio di bonifica Bacchiglione"</f>
        <v>Consorzio di bonifica Bacchiglione</v>
      </c>
      <c r="I980" t="str">
        <f>"92223390284"</f>
        <v>92223390284</v>
      </c>
      <c r="J980" t="str">
        <f>"23-AFFIDAMENTO DIRETTO"</f>
        <v>23-AFFIDAMENTO DIRETTO</v>
      </c>
      <c r="K980" t="str">
        <f>"16/09/2021"</f>
        <v>16/09/2021</v>
      </c>
      <c r="L980" t="str">
        <f>"07/06/2022"</f>
        <v>07/06/2022</v>
      </c>
      <c r="M980" t="str">
        <f>""</f>
        <v/>
      </c>
      <c r="N980" t="str">
        <f>"Elettroveneta S.p.A. Viale della Navigazione Interna, 48 - 35129 Padova (PD)"</f>
        <v>Elettroveneta S.p.A. Viale della Navigazione Interna, 48 - 35129 Padova (PD)</v>
      </c>
      <c r="O980" t="str">
        <f>"Elettroveneta S.p.A. Viale della Navigazione Interna, 48 - 35129 Padova (PD)"</f>
        <v>Elettroveneta S.p.A. Viale della Navigazione Interna, 48 - 35129 Padova (PD)</v>
      </c>
      <c r="P980" t="str">
        <f>"Z83331339C: [2980.00€ ]"</f>
        <v>Z83331339C: [2980.00€ ]</v>
      </c>
      <c r="Q980" t="str">
        <f>""</f>
        <v/>
      </c>
      <c r="R980" t="str">
        <f>""</f>
        <v/>
      </c>
      <c r="S980" t="str">
        <f>""</f>
        <v/>
      </c>
      <c r="T980" t="str">
        <f>"https://portaletrasparenza.consorziobacchiglione.it/dettagli/attodigara/7144/fornitura-stampante-per-etichettare-cavi-quadri-elettrici.html"</f>
        <v>https://portaletrasparenza.consorziobacchiglione.it/dettagli/attodigara/7144/fornitura-stampante-per-etichettare-cavi-quadri-elettrici.html</v>
      </c>
      <c r="U980" t="str">
        <f>"https://portaletrasparenza.consorziobacchiglione.it/download/attodigara/7144/63ac45c6c091a.PDF"</f>
        <v>https://portaletrasparenza.consorziobacchiglione.it/download/attodigara/7144/63ac45c6c091a.PDF</v>
      </c>
      <c r="V98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81" spans="1:22" x14ac:dyDescent="0.3">
      <c r="A981" t="str">
        <f>"Affidamento"</f>
        <v>Affidamento</v>
      </c>
      <c r="B981" t="str">
        <f>"Installazione sistema satellitare del Midi escavatore 90 q.li presso C.O.S.Margherita"</f>
        <v>Installazione sistema satellitare del Midi escavatore 90 q.li presso C.O.S.Margherita</v>
      </c>
      <c r="C981" t="str">
        <f>"Z8A3312AB6"</f>
        <v>Z8A3312AB6</v>
      </c>
      <c r="D981" t="str">
        <f>"17/09/2021"</f>
        <v>17/09/2021</v>
      </c>
      <c r="E981" t="str">
        <f>""</f>
        <v/>
      </c>
      <c r="F981" t="str">
        <f>""</f>
        <v/>
      </c>
      <c r="G981" t="str">
        <f>"700.00"</f>
        <v>700.00</v>
      </c>
      <c r="H981" t="str">
        <f>"Consorzio di bonifica Bacchiglione"</f>
        <v>Consorzio di bonifica Bacchiglione</v>
      </c>
      <c r="I981" t="str">
        <f>"92223390284"</f>
        <v>92223390284</v>
      </c>
      <c r="J981" t="str">
        <f>"23-AFFIDAMENTO DIRETTO"</f>
        <v>23-AFFIDAMENTO DIRETTO</v>
      </c>
      <c r="K981" t="str">
        <f>"16/09/2021"</f>
        <v>16/09/2021</v>
      </c>
      <c r="L981" t="str">
        <f>"10/03/2022"</f>
        <v>10/03/2022</v>
      </c>
      <c r="M981" t="str">
        <f>""</f>
        <v/>
      </c>
      <c r="N981" t="str">
        <f>"Vise Elettrocar Via Montagnon 61 35028 Tognana di Piove di Sacco PD"</f>
        <v>Vise Elettrocar Via Montagnon 61 35028 Tognana di Piove di Sacco PD</v>
      </c>
      <c r="O981" t="str">
        <f>"Vise Elettrocar Via Montagnon 61 35028 Tognana di Piove di Sacco PD"</f>
        <v>Vise Elettrocar Via Montagnon 61 35028 Tognana di Piove di Sacco PD</v>
      </c>
      <c r="P981" t="str">
        <f>"Z8A3312AB6: [700.00€ ]"</f>
        <v>Z8A3312AB6: [700.00€ ]</v>
      </c>
      <c r="Q981" t="str">
        <f>""</f>
        <v/>
      </c>
      <c r="R981" t="str">
        <f>""</f>
        <v/>
      </c>
      <c r="S981" t="str">
        <f>""</f>
        <v/>
      </c>
      <c r="T981" t="str">
        <f>"https://portaletrasparenza.consorziobacchiglione.it/dettagli/attodigara/7143/installazione-sistema-satellitare-del-midi-escavatore-90-q-li-presso-c-o-s-margherita.html"</f>
        <v>https://portaletrasparenza.consorziobacchiglione.it/dettagli/attodigara/7143/installazione-sistema-satellitare-del-midi-escavatore-90-q-li-presso-c-o-s-margherita.html</v>
      </c>
      <c r="U981" t="str">
        <f>"https://portaletrasparenza.consorziobacchiglione.it/download/attodigara/7143/63ac45c6877df.PDF"</f>
        <v>https://portaletrasparenza.consorziobacchiglione.it/download/attodigara/7143/63ac45c6877df.PDF</v>
      </c>
      <c r="V98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82" spans="1:22" x14ac:dyDescent="0.3">
      <c r="A982" t="str">
        <f>"Affidamento"</f>
        <v>Affidamento</v>
      </c>
      <c r="B982" t="str">
        <f>"Manutenzione e riparazione mezzi con targa: FZ297XV, motobarca n.6"</f>
        <v>Manutenzione e riparazione mezzi con targa: FZ297XV, motobarca n.6</v>
      </c>
      <c r="C982" t="str">
        <f>"Z4533129C3"</f>
        <v>Z4533129C3</v>
      </c>
      <c r="D982" t="str">
        <f>"17/09/2021"</f>
        <v>17/09/2021</v>
      </c>
      <c r="E982" t="str">
        <f>""</f>
        <v/>
      </c>
      <c r="F982" t="str">
        <f>""</f>
        <v/>
      </c>
      <c r="G982" t="str">
        <f>"550.00"</f>
        <v>550.00</v>
      </c>
      <c r="H982" t="str">
        <f>"Consorzio di bonifica Bacchiglione"</f>
        <v>Consorzio di bonifica Bacchiglione</v>
      </c>
      <c r="I982" t="str">
        <f>"92223390284"</f>
        <v>92223390284</v>
      </c>
      <c r="J982" t="str">
        <f>"23-AFFIDAMENTO DIRETTO"</f>
        <v>23-AFFIDAMENTO DIRETTO</v>
      </c>
      <c r="K982" t="str">
        <f>"16/09/2021"</f>
        <v>16/09/2021</v>
      </c>
      <c r="L982" t="str">
        <f>"06/08/2022"</f>
        <v>06/08/2022</v>
      </c>
      <c r="M982" t="str">
        <f>""</f>
        <v/>
      </c>
      <c r="N982" t="str">
        <f>"Vise Elettrocar Via Montagnon 61 35028 Tognana di Piove di Sacco PD"</f>
        <v>Vise Elettrocar Via Montagnon 61 35028 Tognana di Piove di Sacco PD</v>
      </c>
      <c r="O982" t="str">
        <f>"Vise Elettrocar Via Montagnon 61 35028 Tognana di Piove di Sacco PD"</f>
        <v>Vise Elettrocar Via Montagnon 61 35028 Tognana di Piove di Sacco PD</v>
      </c>
      <c r="P982" t="str">
        <f>"Z4533129C3: [550.00€ ]"</f>
        <v>Z4533129C3: [550.00€ ]</v>
      </c>
      <c r="Q982" t="str">
        <f>""</f>
        <v/>
      </c>
      <c r="R982" t="str">
        <f>""</f>
        <v/>
      </c>
      <c r="S982" t="str">
        <f>""</f>
        <v/>
      </c>
      <c r="T982" t="str">
        <f>"https://portaletrasparenza.consorziobacchiglione.it/dettagli/attodigara/7142/manutenzione-e-riparazione-mezzi-con-targa-fz297xv-motobarca-n-6.html"</f>
        <v>https://portaletrasparenza.consorziobacchiglione.it/dettagli/attodigara/7142/manutenzione-e-riparazione-mezzi-con-targa-fz297xv-motobarca-n-6.html</v>
      </c>
      <c r="U982" t="str">
        <f>"https://portaletrasparenza.consorziobacchiglione.it/download/attodigara/7142/63ac45c64ed10.PDF"</f>
        <v>https://portaletrasparenza.consorziobacchiglione.it/download/attodigara/7142/63ac45c64ed10.PDF</v>
      </c>
      <c r="V9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83" spans="1:22" x14ac:dyDescent="0.3">
      <c r="A983" t="str">
        <f>"Affidamento"</f>
        <v>Affidamento</v>
      </c>
      <c r="B983" t="str">
        <f>"Fornitura bobina filo per decespugliatore Stihl presso C.O.S.Margherita"</f>
        <v>Fornitura bobina filo per decespugliatore Stihl presso C.O.S.Margherita</v>
      </c>
      <c r="C983" t="str">
        <f>"ZE43311FAC"</f>
        <v>ZE43311FAC</v>
      </c>
      <c r="D983" t="str">
        <f>"17/09/2021"</f>
        <v>17/09/2021</v>
      </c>
      <c r="E983" t="str">
        <f>""</f>
        <v/>
      </c>
      <c r="F983" t="str">
        <f>""</f>
        <v/>
      </c>
      <c r="G983" t="str">
        <f>"42.62"</f>
        <v>42.62</v>
      </c>
      <c r="H983" t="str">
        <f>"Consorzio di bonifica Bacchiglione"</f>
        <v>Consorzio di bonifica Bacchiglione</v>
      </c>
      <c r="I983" t="str">
        <f>"92223390284"</f>
        <v>92223390284</v>
      </c>
      <c r="J983" t="str">
        <f>"23-AFFIDAMENTO DIRETTO"</f>
        <v>23-AFFIDAMENTO DIRETTO</v>
      </c>
      <c r="K983" t="str">
        <f>"16/09/2021"</f>
        <v>16/09/2021</v>
      </c>
      <c r="L983" t="str">
        <f>"27/09/2021"</f>
        <v>27/09/2021</v>
      </c>
      <c r="M983" t="str">
        <f>""</f>
        <v/>
      </c>
      <c r="N983" t="str">
        <f>"Mini Motor di Vettorato Gabriele Via Puccini 3 35020 Brugine PD"</f>
        <v>Mini Motor di Vettorato Gabriele Via Puccini 3 35020 Brugine PD</v>
      </c>
      <c r="O983" t="str">
        <f>"Mini Motor di Vettorato Gabriele Via Puccini 3 35020 Brugine PD"</f>
        <v>Mini Motor di Vettorato Gabriele Via Puccini 3 35020 Brugine PD</v>
      </c>
      <c r="P983" t="str">
        <f>"ZE43311FAC: [42.62€ ]"</f>
        <v>ZE43311FAC: [42.62€ ]</v>
      </c>
      <c r="Q983" t="str">
        <f>""</f>
        <v/>
      </c>
      <c r="R983" t="str">
        <f>""</f>
        <v/>
      </c>
      <c r="S983" t="str">
        <f>""</f>
        <v/>
      </c>
      <c r="T983" t="str">
        <f>"https://portaletrasparenza.consorziobacchiglione.it/dettagli/attodigara/7139/fornitura-bobina-filo-per-decespugliatore-stihl-presso-c-o-s-margherita.html"</f>
        <v>https://portaletrasparenza.consorziobacchiglione.it/dettagli/attodigara/7139/fornitura-bobina-filo-per-decespugliatore-stihl-presso-c-o-s-margherita.html</v>
      </c>
      <c r="U983" t="str">
        <f>"https://portaletrasparenza.consorziobacchiglione.it/download/attodigara/7139/63ac45c597065.PDF"</f>
        <v>https://portaletrasparenza.consorziobacchiglione.it/download/attodigara/7139/63ac45c597065.PDF</v>
      </c>
      <c r="V98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84" spans="1:22" x14ac:dyDescent="0.3">
      <c r="A984" t="str">
        <f>"Affidamento"</f>
        <v>Affidamento</v>
      </c>
      <c r="B984" t="str">
        <f>"Revisione pistone Sali/scendi presso sgrigliatore sostegno Zip"</f>
        <v>Revisione pistone Sali/scendi presso sgrigliatore sostegno Zip</v>
      </c>
      <c r="C984" t="str">
        <f>"Z8933112E9"</f>
        <v>Z8933112E9</v>
      </c>
      <c r="D984" t="str">
        <f>"17/09/2021"</f>
        <v>17/09/2021</v>
      </c>
      <c r="E984" t="str">
        <f>""</f>
        <v/>
      </c>
      <c r="F984" t="str">
        <f>""</f>
        <v/>
      </c>
      <c r="G984" t="str">
        <f>"4060.00"</f>
        <v>4060.00</v>
      </c>
      <c r="H984" t="str">
        <f>"Consorzio di bonifica Bacchiglione"</f>
        <v>Consorzio di bonifica Bacchiglione</v>
      </c>
      <c r="I984" t="str">
        <f>"92223390284"</f>
        <v>92223390284</v>
      </c>
      <c r="J984" t="str">
        <f>"23-AFFIDAMENTO DIRETTO"</f>
        <v>23-AFFIDAMENTO DIRETTO</v>
      </c>
      <c r="K984" t="str">
        <f>"16/09/2021"</f>
        <v>16/09/2021</v>
      </c>
      <c r="L984" t="str">
        <f>"15/11/2021"</f>
        <v>15/11/2021</v>
      </c>
      <c r="M984" t="str">
        <f>""</f>
        <v/>
      </c>
      <c r="N984" t="str">
        <f>"Officina Biesse S.n.c. Via Matteotti 24 35020 Arzergrande PD"</f>
        <v>Officina Biesse S.n.c. Via Matteotti 24 35020 Arzergrande PD</v>
      </c>
      <c r="O984" t="str">
        <f>"Officina Biesse S.n.c. Via Matteotti 24 35020 Arzergrande PD"</f>
        <v>Officina Biesse S.n.c. Via Matteotti 24 35020 Arzergrande PD</v>
      </c>
      <c r="P984" t="str">
        <f>"Z8933112E9: [4060.00€ ]"</f>
        <v>Z8933112E9: [4060.00€ ]</v>
      </c>
      <c r="Q984" t="str">
        <f>""</f>
        <v/>
      </c>
      <c r="R984" t="str">
        <f>""</f>
        <v/>
      </c>
      <c r="S984" t="str">
        <f>""</f>
        <v/>
      </c>
      <c r="T984" t="str">
        <f>"https://portaletrasparenza.consorziobacchiglione.it/dettagli/attodigara/7138/revisione-pistone-sali-scendi-presso-sgrigliatore-sostegno-zip.html"</f>
        <v>https://portaletrasparenza.consorziobacchiglione.it/dettagli/attodigara/7138/revisione-pistone-sali-scendi-presso-sgrigliatore-sostegno-zip.html</v>
      </c>
      <c r="U984" t="str">
        <f>"https://portaletrasparenza.consorziobacchiglione.it/download/attodigara/7138/63ac45c55e4b0.PDF"</f>
        <v>https://portaletrasparenza.consorziobacchiglione.it/download/attodigara/7138/63ac45c55e4b0.PDF</v>
      </c>
      <c r="V9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85" spans="1:22" x14ac:dyDescent="0.3">
      <c r="A985" t="str">
        <f>"Affidamento"</f>
        <v>Affidamento</v>
      </c>
      <c r="B985" t="str">
        <f>"Fornitura n.10 paia di scarpe per personale Consorziale"</f>
        <v>Fornitura n.10 paia di scarpe per personale Consorziale</v>
      </c>
      <c r="C985" t="str">
        <f>"ZCC331078E"</f>
        <v>ZCC331078E</v>
      </c>
      <c r="D985" t="str">
        <f>"17/09/2021"</f>
        <v>17/09/2021</v>
      </c>
      <c r="E985" t="str">
        <f>""</f>
        <v/>
      </c>
      <c r="F985" t="str">
        <f>""</f>
        <v/>
      </c>
      <c r="G985" t="str">
        <f>"540.00"</f>
        <v>540.00</v>
      </c>
      <c r="H985" t="str">
        <f>"Consorzio di bonifica Bacchiglione"</f>
        <v>Consorzio di bonifica Bacchiglione</v>
      </c>
      <c r="I985" t="str">
        <f>"92223390284"</f>
        <v>92223390284</v>
      </c>
      <c r="J985" t="str">
        <f>"23-AFFIDAMENTO DIRETTO"</f>
        <v>23-AFFIDAMENTO DIRETTO</v>
      </c>
      <c r="K985" t="str">
        <f>"16/09/2021"</f>
        <v>16/09/2021</v>
      </c>
      <c r="L985" t="str">
        <f>"22/10/2021"</f>
        <v>22/10/2021</v>
      </c>
      <c r="M985" t="str">
        <f>""</f>
        <v/>
      </c>
      <c r="N985" t="str">
        <f>"Chinello antinfortunistica via Padana 34 Z.I. Vigorovea di S.Angelo di Piove di Sacco PD"</f>
        <v>Chinello antinfortunistica via Padana 34 Z.I. Vigorovea di S.Angelo di Piove di Sacco PD</v>
      </c>
      <c r="O985" t="str">
        <f>"Chinello antinfortunistica via Padana 34 Z.I. Vigorovea di S.Angelo di Piove di Sacco PD"</f>
        <v>Chinello antinfortunistica via Padana 34 Z.I. Vigorovea di S.Angelo di Piove di Sacco PD</v>
      </c>
      <c r="P985" t="str">
        <f>"ZCC331078E: [540.00€ ]"</f>
        <v>ZCC331078E: [540.00€ ]</v>
      </c>
      <c r="Q985" t="str">
        <f>""</f>
        <v/>
      </c>
      <c r="R985" t="str">
        <f>""</f>
        <v/>
      </c>
      <c r="S985" t="str">
        <f>""</f>
        <v/>
      </c>
      <c r="T985" t="str">
        <f>"https://portaletrasparenza.consorziobacchiglione.it/dettagli/attodigara/7136/fornitura-n-10-paia-di-scarpe-per-personale-consorziale.html"</f>
        <v>https://portaletrasparenza.consorziobacchiglione.it/dettagli/attodigara/7136/fornitura-n-10-paia-di-scarpe-per-personale-consorziale.html</v>
      </c>
      <c r="U985" t="str">
        <f>"https://portaletrasparenza.consorziobacchiglione.it/download/attodigara/7136/63ac45c4d13ce.PDF"</f>
        <v>https://portaletrasparenza.consorziobacchiglione.it/download/attodigara/7136/63ac45c4d13ce.PDF</v>
      </c>
      <c r="V9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86" spans="1:22" x14ac:dyDescent="0.3">
      <c r="A986" t="str">
        <f>"Affidamento"</f>
        <v>Affidamento</v>
      </c>
      <c r="B986" t="str">
        <f>"Integrazione alla Società Hunext, fino a Dicembre 2024 per implementazione software e servizi per calendari Office 365 su Ufficio Web già in dotazione al Consorzio"</f>
        <v>Integrazione alla Società Hunext, fino a Dicembre 2024 per implementazione software e servizi per calendari Office 365 su Ufficio Web già in dotazione al Consorzio</v>
      </c>
      <c r="C986" t="str">
        <f>"ZD83312543"</f>
        <v>ZD83312543</v>
      </c>
      <c r="D986" t="str">
        <f>"17/09/2021"</f>
        <v>17/09/2021</v>
      </c>
      <c r="E986" t="str">
        <f>""</f>
        <v/>
      </c>
      <c r="F986" t="str">
        <f>""</f>
        <v/>
      </c>
      <c r="G986" t="str">
        <f>"2270.50"</f>
        <v>2270.50</v>
      </c>
      <c r="H986" t="str">
        <f>"Consorzio di bonifica Bacchiglione"</f>
        <v>Consorzio di bonifica Bacchiglione</v>
      </c>
      <c r="I986" t="str">
        <f>"92223390284"</f>
        <v>92223390284</v>
      </c>
      <c r="J986" t="str">
        <f>"23-AFFIDAMENTO DIRETTO"</f>
        <v>23-AFFIDAMENTO DIRETTO</v>
      </c>
      <c r="K986" t="str">
        <f>"16/09/2021"</f>
        <v>16/09/2021</v>
      </c>
      <c r="L986" t="str">
        <f>"31/12/2021"</f>
        <v>31/12/2021</v>
      </c>
      <c r="M986" t="str">
        <f>""</f>
        <v/>
      </c>
      <c r="N986" t="str">
        <f>"Hunext via A. Volta, 23 - 31030 Casier (TV)"</f>
        <v>Hunext via A. Volta, 23 - 31030 Casier (TV)</v>
      </c>
      <c r="O986" t="str">
        <f>"Hunext via A. Volta, 23 - 31030 Casier (TV)"</f>
        <v>Hunext via A. Volta, 23 - 31030 Casier (TV)</v>
      </c>
      <c r="P986" t="str">
        <f>"ZD83312543: [1627.00€ ]"</f>
        <v>ZD83312543: [1627.00€ ]</v>
      </c>
      <c r="Q986" t="str">
        <f>""</f>
        <v/>
      </c>
      <c r="R986" t="str">
        <f>""</f>
        <v/>
      </c>
      <c r="S986" t="str">
        <f>""</f>
        <v/>
      </c>
      <c r="T986" t="str">
        <f>"https://portaletrasparenza.consorziobacchiglione.it/dettagli/attodigara/7141/integrazione-alla-societa-hunext-fino-a-dicembre-2024-per-implementazione-software-e-servizi-per-calendari-office-365-su-ufficio-web-gia-in-dotazione-al-consorzio.html"</f>
        <v>https://portaletrasparenza.consorziobacchiglione.it/dettagli/attodigara/7141/integrazione-alla-societa-hunext-fino-a-dicembre-2024-per-implementazione-software-e-servizi-per-calendari-office-365-su-ufficio-web-gia-in-dotazione-al-consorzio.html</v>
      </c>
      <c r="U986" t="str">
        <f>"https://portaletrasparenza.consorziobacchiglione.it/download/attodigara/7141/63e646e46d769.PDF"</f>
        <v>https://portaletrasparenza.consorziobacchiglione.it/download/attodigara/7141/63e646e46d769.PDF</v>
      </c>
      <c r="V986">
        <f>(SUBSTITUTE(Tabella1[[#This Row],[Importo di aggiudicazione]],".",","))-(SUBSTITUTE(  SUBSTITUTE(          SUBSTITUTE(Tabella1[[#This Row],[Dettaglio somme liquidate]],Tabella1[[#This Row],[CIG]]&amp;": [",""),"€ ]",""),".",","))</f>
        <v>643.5</v>
      </c>
    </row>
    <row r="987" spans="1:22" x14ac:dyDescent="0.3">
      <c r="A987" t="str">
        <f>"Affidamento"</f>
        <v>Affidamento</v>
      </c>
      <c r="B987" t="str">
        <f>"Fornitura n 4 bombole gas per pirodiserbo Idrovora Bernio e C.O.S.Margherita"</f>
        <v>Fornitura n 4 bombole gas per pirodiserbo Idrovora Bernio e C.O.S.Margherita</v>
      </c>
      <c r="C987" t="str">
        <f>"Z671C0D95D"</f>
        <v>Z671C0D95D</v>
      </c>
      <c r="D987" t="str">
        <f>"04/11/2021"</f>
        <v>04/11/2021</v>
      </c>
      <c r="E987" t="str">
        <f>""</f>
        <v/>
      </c>
      <c r="F987" t="str">
        <f>""</f>
        <v/>
      </c>
      <c r="G987" t="str">
        <f>"119.02"</f>
        <v>119.02</v>
      </c>
      <c r="H987" t="str">
        <f>"Consorzio di bonifica Bacchiglione"</f>
        <v>Consorzio di bonifica Bacchiglione</v>
      </c>
      <c r="I987" t="str">
        <f>"92223390284"</f>
        <v>92223390284</v>
      </c>
      <c r="J987" t="str">
        <f>"23-AFFIDAMENTO DIRETTO"</f>
        <v>23-AFFIDAMENTO DIRETTO</v>
      </c>
      <c r="K987" t="str">
        <f>"16/11/2021"</f>
        <v>16/11/2021</v>
      </c>
      <c r="L987" t="str">
        <f>"31/12/2021"</f>
        <v>31/12/2021</v>
      </c>
      <c r="M987" t="str">
        <f>""</f>
        <v/>
      </c>
      <c r="N987" t="str">
        <f>"Gollo Giovanni Via Vallona 65 35020 Conche di Codevigo PD"</f>
        <v>Gollo Giovanni Via Vallona 65 35020 Conche di Codevigo PD</v>
      </c>
      <c r="O987" t="str">
        <f>"Gollo Giovanni Via Vallona 65 35020 Conche di Codevigo PD"</f>
        <v>Gollo Giovanni Via Vallona 65 35020 Conche di Codevigo PD</v>
      </c>
      <c r="P987" t="s">
        <v>325</v>
      </c>
      <c r="Q987" t="str">
        <f>""</f>
        <v/>
      </c>
      <c r="R987" t="str">
        <f>""</f>
        <v/>
      </c>
      <c r="S987" t="str">
        <f>""</f>
        <v/>
      </c>
      <c r="T987" t="str">
        <f>"https://portaletrasparenza.consorziobacchiglione.it/dettagli/attodigara/920/fornitura-n-4-bombole-gas-per-pirodiserbo-idrovora-bernio-e-c-o-s-margherita.html"</f>
        <v>https://portaletrasparenza.consorziobacchiglione.it/dettagli/attodigara/920/fornitura-n-4-bombole-gas-per-pirodiserbo-idrovora-bernio-e-c-o-s-margherita.html</v>
      </c>
      <c r="U987" t="str">
        <f>""</f>
        <v/>
      </c>
      <c r="V9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88" spans="1:22" x14ac:dyDescent="0.3">
      <c r="A988" t="str">
        <f>"Affidamento"</f>
        <v>Affidamento</v>
      </c>
      <c r="B988" t="str">
        <f>"Fornitura materiale edile e di ferramenta per lavori scolo Orsaro sostegno ZIP, scolo Brentella Vecchia, Idrovora di Cambroso."</f>
        <v>Fornitura materiale edile e di ferramenta per lavori scolo Orsaro sostegno ZIP, scolo Brentella Vecchia, Idrovora di Cambroso.</v>
      </c>
      <c r="C988" t="str">
        <f>"ZE31C0DD5F"</f>
        <v>ZE31C0DD5F</v>
      </c>
      <c r="D988" t="str">
        <f>"04/11/2021"</f>
        <v>04/11/2021</v>
      </c>
      <c r="E988" t="str">
        <f>""</f>
        <v/>
      </c>
      <c r="F988" t="str">
        <f>""</f>
        <v/>
      </c>
      <c r="G988" t="str">
        <f>"1232.13"</f>
        <v>1232.13</v>
      </c>
      <c r="H988" t="str">
        <f>"Consorzio di bonifica Bacchiglione"</f>
        <v>Consorzio di bonifica Bacchiglione</v>
      </c>
      <c r="I988" t="str">
        <f>"92223390284"</f>
        <v>92223390284</v>
      </c>
      <c r="J988" t="str">
        <f>"23-AFFIDAMENTO DIRETTO"</f>
        <v>23-AFFIDAMENTO DIRETTO</v>
      </c>
      <c r="K988" t="str">
        <f>"16/11/2021"</f>
        <v>16/11/2021</v>
      </c>
      <c r="L988" t="str">
        <f>"31/12/2021"</f>
        <v>31/12/2021</v>
      </c>
      <c r="M988" t="str">
        <f>""</f>
        <v/>
      </c>
      <c r="N988" t="str">
        <f>"Idronord s.r.l. Via delle Industrie 3C 30036 Santa Maria Di Sala VE"</f>
        <v>Idronord s.r.l. Via delle Industrie 3C 30036 Santa Maria Di Sala VE</v>
      </c>
      <c r="O988" t="str">
        <f>"Idronord s.r.l. Via delle Industrie 3C 30036 Santa Maria Di Sala VE"</f>
        <v>Idronord s.r.l. Via delle Industrie 3C 30036 Santa Maria Di Sala VE</v>
      </c>
      <c r="P988" t="s">
        <v>373</v>
      </c>
      <c r="Q988" t="str">
        <f>""</f>
        <v/>
      </c>
      <c r="R988" t="str">
        <f>""</f>
        <v/>
      </c>
      <c r="S988" t="str">
        <f>""</f>
        <v/>
      </c>
      <c r="T988" t="str">
        <f>"https://portaletrasparenza.consorziobacchiglione.it/dettagli/attodigara/922/fornitura-materiale-edile-e-di-ferramenta-per-lavori-scolo-orsaro-sostegno-zip-scolo-brentella-vecchia-idrovora-di-cambroso.html"</f>
        <v>https://portaletrasparenza.consorziobacchiglione.it/dettagli/attodigara/922/fornitura-materiale-edile-e-di-ferramenta-per-lavori-scolo-orsaro-sostegno-zip-scolo-brentella-vecchia-idrovora-di-cambroso.html</v>
      </c>
      <c r="U988" t="str">
        <f>""</f>
        <v/>
      </c>
      <c r="V98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89" spans="1:22" x14ac:dyDescent="0.3">
      <c r="A989" t="str">
        <f>"Affidamento"</f>
        <v>Affidamento</v>
      </c>
      <c r="B989" t="str">
        <f>"Servizio di assistenza e manutenzione sistema di telecontrollo e telecomando impianti periodo Ottobre - Novembre - Dicembre 2016."</f>
        <v>Servizio di assistenza e manutenzione sistema di telecontrollo e telecomando impianti periodo Ottobre - Novembre - Dicembre 2016.</v>
      </c>
      <c r="C989" t="str">
        <f>"Z081C0DC31"</f>
        <v>Z081C0DC31</v>
      </c>
      <c r="D989" t="str">
        <f>"04/11/2021"</f>
        <v>04/11/2021</v>
      </c>
      <c r="E989" t="str">
        <f>""</f>
        <v/>
      </c>
      <c r="F989" t="str">
        <f>""</f>
        <v/>
      </c>
      <c r="G989" t="str">
        <f>"7000.00"</f>
        <v>7000.00</v>
      </c>
      <c r="H989" t="str">
        <f>"Consorzio di bonifica Bacchiglione"</f>
        <v>Consorzio di bonifica Bacchiglione</v>
      </c>
      <c r="I989" t="str">
        <f>"92223390284"</f>
        <v>92223390284</v>
      </c>
      <c r="J989" t="str">
        <f>"23-AFFIDAMENTO DIRETTO"</f>
        <v>23-AFFIDAMENTO DIRETTO</v>
      </c>
      <c r="K989" t="str">
        <f>"16/11/2021"</f>
        <v>16/11/2021</v>
      </c>
      <c r="L989" t="str">
        <f>"04/01/2021"</f>
        <v>04/01/2021</v>
      </c>
      <c r="M989" t="str">
        <f>""</f>
        <v/>
      </c>
      <c r="N989" t="str">
        <f>"Connet s.r.l. Via Giacomo Leopardi18A 35027 Noventa Padovana PD"</f>
        <v>Connet s.r.l. Via Giacomo Leopardi18A 35027 Noventa Padovana PD</v>
      </c>
      <c r="O989" t="str">
        <f>"Connet s.r.l. Via Giacomo Leopardi18A 35027 Noventa Padovana PD"</f>
        <v>Connet s.r.l. Via Giacomo Leopardi18A 35027 Noventa Padovana PD</v>
      </c>
      <c r="P989" t="str">
        <f>"Z081C0DC31: [7000.00€ ]"</f>
        <v>Z081C0DC31: [7000.00€ ]</v>
      </c>
      <c r="Q989" t="str">
        <f>""</f>
        <v/>
      </c>
      <c r="R989" t="str">
        <f>""</f>
        <v/>
      </c>
      <c r="S989" t="str">
        <f>""</f>
        <v/>
      </c>
      <c r="T989" t="str">
        <f>"https://portaletrasparenza.consorziobacchiglione.it/dettagli/attodigara/921/servizio-di-assistenza-e-manutenzione-sistema-di-telecontrollo-e-telecomando-impianti-periodo-ottobre-novembre-dicembre-2016.html"</f>
        <v>https://portaletrasparenza.consorziobacchiglione.it/dettagli/attodigara/921/servizio-di-assistenza-e-manutenzione-sistema-di-telecontrollo-e-telecomando-impianti-periodo-ottobre-novembre-dicembre-2016.html</v>
      </c>
      <c r="U989" t="str">
        <f>""</f>
        <v/>
      </c>
      <c r="V9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90" spans="1:22" x14ac:dyDescent="0.3">
      <c r="A990" t="str">
        <f>"Affidamento"</f>
        <v>Affidamento</v>
      </c>
      <c r="B990" t="str">
        <f>"Lavoro di infissione palancole in materiale plastico per intercettazioni sifonamenti arginali Scolo Altipiano"</f>
        <v>Lavoro di infissione palancole in materiale plastico per intercettazioni sifonamenti arginali Scolo Altipiano</v>
      </c>
      <c r="C990" t="str">
        <f>"ZBA1C0C1A7"</f>
        <v>ZBA1C0C1A7</v>
      </c>
      <c r="D990" t="str">
        <f>"04/11/2021"</f>
        <v>04/11/2021</v>
      </c>
      <c r="E990" t="str">
        <f>""</f>
        <v/>
      </c>
      <c r="F990" t="str">
        <f>""</f>
        <v/>
      </c>
      <c r="G990" t="str">
        <f>"26880.00"</f>
        <v>26880.00</v>
      </c>
      <c r="H990" t="str">
        <f>"Consorzio di bonifica Bacchiglione"</f>
        <v>Consorzio di bonifica Bacchiglione</v>
      </c>
      <c r="I990" t="str">
        <f>"92223390284"</f>
        <v>92223390284</v>
      </c>
      <c r="J990" t="str">
        <f>"23-AFFIDAMENTO DIRETTO"</f>
        <v>23-AFFIDAMENTO DIRETTO</v>
      </c>
      <c r="K990" t="str">
        <f>"16/11/2021"</f>
        <v>16/11/2021</v>
      </c>
      <c r="L990" t="str">
        <f>"23/02/2021"</f>
        <v>23/02/2021</v>
      </c>
      <c r="M990" t="str">
        <f>""</f>
        <v/>
      </c>
      <c r="N990" t="str">
        <f>"V.P.S. s.a.s. di Viel Claudio E C. Via E. Mattei 15 35020 Codevigo PD | LOCAPAL SRL Via Marghera 7 30010 Lughetto di Campagna Lupia VE | Releo s.r.l. via Goito 12 40126 Bologna"</f>
        <v>V.P.S. s.a.s. di Viel Claudio E C. Via E. Mattei 15 35020 Codevigo PD | LOCAPAL SRL Via Marghera 7 30010 Lughetto di Campagna Lupia VE | Releo s.r.l. via Goito 12 40126 Bologna</v>
      </c>
      <c r="O990" t="str">
        <f>"V.P.S. s.a.s. di Viel Claudio E C. Via E. Mattei 15 35020 Codevigo PD"</f>
        <v>V.P.S. s.a.s. di Viel Claudio E C. Via E. Mattei 15 35020 Codevigo PD</v>
      </c>
      <c r="P990" t="str">
        <f>"ZBA1C0C1A7: [26880.00€ ]"</f>
        <v>ZBA1C0C1A7: [26880.00€ ]</v>
      </c>
      <c r="Q990" t="str">
        <f>""</f>
        <v/>
      </c>
      <c r="R990" t="str">
        <f>""</f>
        <v/>
      </c>
      <c r="S990" t="str">
        <f>""</f>
        <v/>
      </c>
      <c r="T990" t="str">
        <f>"https://portaletrasparenza.consorziobacchiglione.it/dettagli/attodigara/919/lavoro-di-infissione-palancole-in-materiale-plastico-per-intercettazioni-sifonamenti-arginali-scolo-altipiano.html"</f>
        <v>https://portaletrasparenza.consorziobacchiglione.it/dettagli/attodigara/919/lavoro-di-infissione-palancole-in-materiale-plastico-per-intercettazioni-sifonamenti-arginali-scolo-altipiano.html</v>
      </c>
      <c r="U990" t="str">
        <f>""</f>
        <v/>
      </c>
      <c r="V9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91" spans="1:22" x14ac:dyDescent="0.3">
      <c r="A991" t="str">
        <f>"Affidamento"</f>
        <v>Affidamento</v>
      </c>
      <c r="B991" t="str">
        <f>"Ripristino e consolidamento di circa 80 ml di scarpata dello scolo in via Schilla a Bovolenta."</f>
        <v>Ripristino e consolidamento di circa 80 ml di scarpata dello scolo in via Schilla a Bovolenta.</v>
      </c>
      <c r="C991" t="str">
        <f>"ZEC1C0B2B2"</f>
        <v>ZEC1C0B2B2</v>
      </c>
      <c r="D991" t="str">
        <f>"04/11/2021"</f>
        <v>04/11/2021</v>
      </c>
      <c r="E991" t="str">
        <f>""</f>
        <v/>
      </c>
      <c r="F991" t="str">
        <f>""</f>
        <v/>
      </c>
      <c r="G991" t="str">
        <f>"8900.00"</f>
        <v>8900.00</v>
      </c>
      <c r="H991" t="str">
        <f>"Consorzio di bonifica Bacchiglione"</f>
        <v>Consorzio di bonifica Bacchiglione</v>
      </c>
      <c r="I991" t="str">
        <f>"92223390284"</f>
        <v>92223390284</v>
      </c>
      <c r="J991" t="str">
        <f>"23-AFFIDAMENTO DIRETTO"</f>
        <v>23-AFFIDAMENTO DIRETTO</v>
      </c>
      <c r="K991" t="str">
        <f>"16/11/2021"</f>
        <v>16/11/2021</v>
      </c>
      <c r="L991" t="str">
        <f>"31/01/2021"</f>
        <v>31/01/2021</v>
      </c>
      <c r="M991" t="str">
        <f>""</f>
        <v/>
      </c>
      <c r="N991" t="s">
        <v>38</v>
      </c>
      <c r="O991" t="str">
        <f>"Rossetto Bruno e Renato Snc Via XXV Aprile 22B 30010 Bojon di Campolongo Maggiore VE"</f>
        <v>Rossetto Bruno e Renato Snc Via XXV Aprile 22B 30010 Bojon di Campolongo Maggiore VE</v>
      </c>
      <c r="P991" t="str">
        <f>"ZEC1C0B2B2: [8900.00€ ]"</f>
        <v>ZEC1C0B2B2: [8900.00€ ]</v>
      </c>
      <c r="Q991" t="str">
        <f>""</f>
        <v/>
      </c>
      <c r="R991" t="str">
        <f>""</f>
        <v/>
      </c>
      <c r="S991" t="str">
        <f>""</f>
        <v/>
      </c>
      <c r="T991" t="str">
        <f>"https://portaletrasparenza.consorziobacchiglione.it/dettagli/attodigara/918/ripristino-e-consolidamento-di-circa-80-ml-di-scarpata-dello-scolo-in-via-schilla-a-bovolenta.html"</f>
        <v>https://portaletrasparenza.consorziobacchiglione.it/dettagli/attodigara/918/ripristino-e-consolidamento-di-circa-80-ml-di-scarpata-dello-scolo-in-via-schilla-a-bovolenta.html</v>
      </c>
      <c r="U991" t="str">
        <f>""</f>
        <v/>
      </c>
      <c r="V9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92" spans="1:22" x14ac:dyDescent="0.3">
      <c r="A992" t="str">
        <f>"Affidamento"</f>
        <v>Affidamento</v>
      </c>
      <c r="B992" t="str">
        <f>"Corsi di aggiornamento RSPP (bonifica bellica nei cantieri edili) - Processo ID 002-16."</f>
        <v>Corsi di aggiornamento RSPP (bonifica bellica nei cantieri edili) - Processo ID 002-16.</v>
      </c>
      <c r="C992" t="str">
        <f>"Z001C0BBA4"</f>
        <v>Z001C0BBA4</v>
      </c>
      <c r="D992" t="str">
        <f>"04/11/2021"</f>
        <v>04/11/2021</v>
      </c>
      <c r="E992" t="str">
        <f>""</f>
        <v/>
      </c>
      <c r="F992" t="str">
        <f>""</f>
        <v/>
      </c>
      <c r="G992" t="str">
        <f>"75.00"</f>
        <v>75.00</v>
      </c>
      <c r="H992" t="str">
        <f>"Consorzio di bonifica Bacchiglione"</f>
        <v>Consorzio di bonifica Bacchiglione</v>
      </c>
      <c r="I992" t="str">
        <f>"92223390284"</f>
        <v>92223390284</v>
      </c>
      <c r="J992" t="str">
        <f>"23-AFFIDAMENTO DIRETTO"</f>
        <v>23-AFFIDAMENTO DIRETTO</v>
      </c>
      <c r="K992" t="str">
        <f>"16/11/2021"</f>
        <v>16/11/2021</v>
      </c>
      <c r="L992" t="str">
        <f>"06/04/2021"</f>
        <v>06/04/2021</v>
      </c>
      <c r="M992" t="str">
        <f>""</f>
        <v/>
      </c>
      <c r="N992" t="str">
        <f>"Centro di Formazione STS s.r.l."</f>
        <v>Centro di Formazione STS s.r.l.</v>
      </c>
      <c r="O992" t="str">
        <f>"Centro di Formazione STS s.r.l."</f>
        <v>Centro di Formazione STS s.r.l.</v>
      </c>
      <c r="P992" t="str">
        <f>"Z001C0BBA4: [75.00€ ]"</f>
        <v>Z001C0BBA4: [75.00€ ]</v>
      </c>
      <c r="Q992" t="str">
        <f>""</f>
        <v/>
      </c>
      <c r="R992" t="str">
        <f>""</f>
        <v/>
      </c>
      <c r="S992" t="str">
        <f>""</f>
        <v/>
      </c>
      <c r="T992" t="str">
        <f>"https://portaletrasparenza.consorziobacchiglione.it/dettagli/attodigara/917/corsi-di-aggiornamento-rspp-bonifica-bellica-nei-cantieri-edili-processo-id-002-16.html"</f>
        <v>https://portaletrasparenza.consorziobacchiglione.it/dettagli/attodigara/917/corsi-di-aggiornamento-rspp-bonifica-bellica-nei-cantieri-edili-processo-id-002-16.html</v>
      </c>
      <c r="U992" t="str">
        <f>""</f>
        <v/>
      </c>
      <c r="V99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93" spans="1:22" x14ac:dyDescent="0.3">
      <c r="A993" t="str">
        <f>"Affidamento"</f>
        <v>Affidamento</v>
      </c>
      <c r="B993" t="str">
        <f>"Fornitura materiale elettrico per vari Impianti"</f>
        <v>Fornitura materiale elettrico per vari Impianti</v>
      </c>
      <c r="C993" t="str">
        <f>"Z2133EF09C"</f>
        <v>Z2133EF09C</v>
      </c>
      <c r="D993" t="str">
        <f>"18/11/2021"</f>
        <v>18/11/2021</v>
      </c>
      <c r="E993" t="str">
        <f>""</f>
        <v/>
      </c>
      <c r="F993" t="str">
        <f>""</f>
        <v/>
      </c>
      <c r="G993" t="str">
        <f>"1046.89"</f>
        <v>1046.89</v>
      </c>
      <c r="H993" t="str">
        <f>"Consorzio di bonifica Bacchiglione"</f>
        <v>Consorzio di bonifica Bacchiglione</v>
      </c>
      <c r="I993" t="str">
        <f>"92223390284"</f>
        <v>92223390284</v>
      </c>
      <c r="J993" t="str">
        <f>"23-AFFIDAMENTO DIRETTO"</f>
        <v>23-AFFIDAMENTO DIRETTO</v>
      </c>
      <c r="K993" t="str">
        <f>"16/11/2021"</f>
        <v>16/11/2021</v>
      </c>
      <c r="L993" t="str">
        <f>"27/12/2021"</f>
        <v>27/12/2021</v>
      </c>
      <c r="M993" t="str">
        <f>""</f>
        <v/>
      </c>
      <c r="N993" t="str">
        <f>"Marchiol S.P.A. Viale della Repubblica 41 31020 sede legale Villorba TV"</f>
        <v>Marchiol S.P.A. Viale della Repubblica 41 31020 sede legale Villorba TV</v>
      </c>
      <c r="O993" t="str">
        <f>"Marchiol S.P.A. Viale della Repubblica 41 31020 sede legale Villorba TV"</f>
        <v>Marchiol S.P.A. Viale della Repubblica 41 31020 sede legale Villorba TV</v>
      </c>
      <c r="P993" t="s">
        <v>238</v>
      </c>
      <c r="Q993" t="str">
        <f>""</f>
        <v/>
      </c>
      <c r="R993" t="str">
        <f>""</f>
        <v/>
      </c>
      <c r="S993" t="str">
        <f>""</f>
        <v/>
      </c>
      <c r="T993" t="str">
        <f>"https://portaletrasparenza.consorziobacchiglione.it/dettagli/attodigara/7289/fornitura-materiale-elettrico-per-vari-impianti.html"</f>
        <v>https://portaletrasparenza.consorziobacchiglione.it/dettagli/attodigara/7289/fornitura-materiale-elettrico-per-vari-impianti.html</v>
      </c>
      <c r="U993" t="str">
        <f>"https://portaletrasparenza.consorziobacchiglione.it/download/attodigara/7289/63ac45eb550fd.PDF"</f>
        <v>https://portaletrasparenza.consorziobacchiglione.it/download/attodigara/7289/63ac45eb550fd.PDF</v>
      </c>
      <c r="V9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94" spans="1:22" x14ac:dyDescent="0.3">
      <c r="A994" t="str">
        <f>"Affidamento"</f>
        <v>Affidamento</v>
      </c>
      <c r="B994" t="str">
        <f>"Noleggio escavatore cingolato Hitachi ZX135US più vibroinfissore HST015 per lavori presso scolo Pioga"</f>
        <v>Noleggio escavatore cingolato Hitachi ZX135US più vibroinfissore HST015 per lavori presso scolo Pioga</v>
      </c>
      <c r="C994" t="str">
        <f>"ZD033EBBC5"</f>
        <v>ZD033EBBC5</v>
      </c>
      <c r="D994" t="str">
        <f>"18/11/2021"</f>
        <v>18/11/2021</v>
      </c>
      <c r="E994" t="str">
        <f>""</f>
        <v/>
      </c>
      <c r="F994" t="str">
        <f>""</f>
        <v/>
      </c>
      <c r="G994" t="str">
        <f>"8500.00"</f>
        <v>8500.00</v>
      </c>
      <c r="H994" t="str">
        <f>"Consorzio di bonifica Bacchiglione"</f>
        <v>Consorzio di bonifica Bacchiglione</v>
      </c>
      <c r="I994" t="str">
        <f>"92223390284"</f>
        <v>92223390284</v>
      </c>
      <c r="J994" t="str">
        <f>"23-AFFIDAMENTO DIRETTO"</f>
        <v>23-AFFIDAMENTO DIRETTO</v>
      </c>
      <c r="K994" t="str">
        <f>"16/11/2021"</f>
        <v>16/11/2021</v>
      </c>
      <c r="L994" t="str">
        <f>"23/11/2021"</f>
        <v>23/11/2021</v>
      </c>
      <c r="M994" t="str">
        <f>""</f>
        <v/>
      </c>
      <c r="N994" t="str">
        <f>"Sorme s.n.c. Via Monache 21 35030 Selvazzano Dentro PD"</f>
        <v>Sorme s.n.c. Via Monache 21 35030 Selvazzano Dentro PD</v>
      </c>
      <c r="O994" t="str">
        <f>"Sorme s.n.c. Via Monache 21 35030 Selvazzano Dentro PD"</f>
        <v>Sorme s.n.c. Via Monache 21 35030 Selvazzano Dentro PD</v>
      </c>
      <c r="P994" t="str">
        <f>"ZD033EBBC5: [8500.00€ ]"</f>
        <v>ZD033EBBC5: [8500.00€ ]</v>
      </c>
      <c r="Q994" t="str">
        <f>""</f>
        <v/>
      </c>
      <c r="R994" t="str">
        <f>""</f>
        <v/>
      </c>
      <c r="S994" t="str">
        <f>""</f>
        <v/>
      </c>
      <c r="T994" t="str">
        <f>"https://portaletrasparenza.consorziobacchiglione.it/dettagli/attodigara/7287/noleggio-escavatore-cingolato-hitachi-zx135us-piu-vibroinfissore-hst015-per-lavori-presso-scolo-pioga.html"</f>
        <v>https://portaletrasparenza.consorziobacchiglione.it/dettagli/attodigara/7287/noleggio-escavatore-cingolato-hitachi-zx135us-piu-vibroinfissore-hst015-per-lavori-presso-scolo-pioga.html</v>
      </c>
      <c r="U994" t="str">
        <f>"https://portaletrasparenza.consorziobacchiglione.it/download/attodigara/7287/63ac45eb1c267.PDF"</f>
        <v>https://portaletrasparenza.consorziobacchiglione.it/download/attodigara/7287/63ac45eb1c267.PDF</v>
      </c>
      <c r="V99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95" spans="1:22" x14ac:dyDescent="0.3">
      <c r="A995" t="str">
        <f>"Affidamento"</f>
        <v>Affidamento</v>
      </c>
      <c r="B995" t="str">
        <f>"Fornitura 10,00 MC di calcestruzzo RCK 250 S4 e 10,00 MC di calcestruzzo RCK 350 S4 da utilizzarsi all'interno del Bacino Sesta Presa"</f>
        <v>Fornitura 10,00 MC di calcestruzzo RCK 250 S4 e 10,00 MC di calcestruzzo RCK 350 S4 da utilizzarsi all'interno del Bacino Sesta Presa</v>
      </c>
      <c r="C995" t="str">
        <f>"ZF233ED2A9"</f>
        <v>ZF233ED2A9</v>
      </c>
      <c r="D995" t="str">
        <f>"18/11/2021"</f>
        <v>18/11/2021</v>
      </c>
      <c r="E995" t="str">
        <f>""</f>
        <v/>
      </c>
      <c r="F995" t="str">
        <f>""</f>
        <v/>
      </c>
      <c r="G995" t="str">
        <f>"1320.00"</f>
        <v>1320.00</v>
      </c>
      <c r="H995" t="str">
        <f>"Consorzio di bonifica Bacchiglione"</f>
        <v>Consorzio di bonifica Bacchiglione</v>
      </c>
      <c r="I995" t="str">
        <f>"92223390284"</f>
        <v>92223390284</v>
      </c>
      <c r="J995" t="str">
        <f>"23-AFFIDAMENTO DIRETTO"</f>
        <v>23-AFFIDAMENTO DIRETTO</v>
      </c>
      <c r="K995" t="str">
        <f>"16/11/2021"</f>
        <v>16/11/2021</v>
      </c>
      <c r="L995" t="str">
        <f>"31/12/2021"</f>
        <v>31/12/2021</v>
      </c>
      <c r="M995" t="str">
        <f>""</f>
        <v/>
      </c>
      <c r="N995" t="str">
        <f>"Zagolin Giovanni s.r.l. Via Gelsi 56 35028 Piove di Sacco PD"</f>
        <v>Zagolin Giovanni s.r.l. Via Gelsi 56 35028 Piove di Sacco PD</v>
      </c>
      <c r="O995" t="str">
        <f>"Zagolin Giovanni s.r.l. Via Gelsi 56 35028 Piove di Sacco PD"</f>
        <v>Zagolin Giovanni s.r.l. Via Gelsi 56 35028 Piove di Sacco PD</v>
      </c>
      <c r="P995" t="str">
        <f>"ZF233ED2A9: [0.00€ ]"</f>
        <v>ZF233ED2A9: [0.00€ ]</v>
      </c>
      <c r="Q995" t="str">
        <f>""</f>
        <v/>
      </c>
      <c r="R995" t="str">
        <f>""</f>
        <v/>
      </c>
      <c r="S995" t="str">
        <f>""</f>
        <v/>
      </c>
      <c r="T995" t="str">
        <f>"https://portaletrasparenza.consorziobacchiglione.it/dettagli/attodigara/7288/fornitura-10-00-mc-di-calcestruzzo-rck-250-s4-e-10-00-mc-di-calcestruzzo-rck-350-s4-da-utilizzarsi-all-interno-del-bacino-sesta-presa.html"</f>
        <v>https://portaletrasparenza.consorziobacchiglione.it/dettagli/attodigara/7288/fornitura-10-00-mc-di-calcestruzzo-rck-250-s4-e-10-00-mc-di-calcestruzzo-rck-350-s4-da-utilizzarsi-all-interno-del-bacino-sesta-presa.html</v>
      </c>
      <c r="U995" t="str">
        <f>"https://portaletrasparenza.consorziobacchiglione.it/download/attodigara/7288/62a210c084e1a.PDF"</f>
        <v>https://portaletrasparenza.consorziobacchiglione.it/download/attodigara/7288/62a210c084e1a.PDF</v>
      </c>
      <c r="V995">
        <f>(SUBSTITUTE(Tabella1[[#This Row],[Importo di aggiudicazione]],".",","))-(SUBSTITUTE(  SUBSTITUTE(          SUBSTITUTE(Tabella1[[#This Row],[Dettaglio somme liquidate]],Tabella1[[#This Row],[CIG]]&amp;": [",""),"€ ]",""),".",","))</f>
        <v>1320</v>
      </c>
    </row>
    <row r="996" spans="1:22" x14ac:dyDescent="0.3">
      <c r="A996" t="str">
        <f>"Affidamento"</f>
        <v>Affidamento</v>
      </c>
      <c r="B996" t="str">
        <f>"Manutenzione e riparazione mezzo con targa. AKD221"</f>
        <v>Manutenzione e riparazione mezzo con targa. AKD221</v>
      </c>
      <c r="C996" t="str">
        <f>"Z161C91326"</f>
        <v>Z161C91326</v>
      </c>
      <c r="D996" t="str">
        <f>"04/11/2021"</f>
        <v>04/11/2021</v>
      </c>
      <c r="E996" t="str">
        <f>""</f>
        <v/>
      </c>
      <c r="F996" t="str">
        <f>""</f>
        <v/>
      </c>
      <c r="G996" t="str">
        <f>"428.00"</f>
        <v>428.00</v>
      </c>
      <c r="H996" t="str">
        <f>"Consorzio di bonifica Bacchiglione"</f>
        <v>Consorzio di bonifica Bacchiglione</v>
      </c>
      <c r="I996" t="str">
        <f>"92223390284"</f>
        <v>92223390284</v>
      </c>
      <c r="J996" t="str">
        <f>"23-AFFIDAMENTO DIRETTO"</f>
        <v>23-AFFIDAMENTO DIRETTO</v>
      </c>
      <c r="K996" t="str">
        <f>"16/12/2021"</f>
        <v>16/12/2021</v>
      </c>
      <c r="L996" t="str">
        <f>"19/01/2021"</f>
        <v>19/01/2021</v>
      </c>
      <c r="M996" t="str">
        <f>""</f>
        <v/>
      </c>
      <c r="N996" t="str">
        <f>"Agristop SAS di Gaiani Annalisa E C. Via Antoniana 35011 Campodarsego PD"</f>
        <v>Agristop SAS di Gaiani Annalisa E C. Via Antoniana 35011 Campodarsego PD</v>
      </c>
      <c r="O996" t="str">
        <f>"Agristop SAS di Gaiani Annalisa E C. Via Antoniana 35011 Campodarsego PD"</f>
        <v>Agristop SAS di Gaiani Annalisa E C. Via Antoniana 35011 Campodarsego PD</v>
      </c>
      <c r="P996" t="str">
        <f>"Z161C91326: [428.00€ ]"</f>
        <v>Z161C91326: [428.00€ ]</v>
      </c>
      <c r="Q996" t="str">
        <f>""</f>
        <v/>
      </c>
      <c r="R996" t="str">
        <f>""</f>
        <v/>
      </c>
      <c r="S996" t="str">
        <f>""</f>
        <v/>
      </c>
      <c r="T996" t="str">
        <f>"https://portaletrasparenza.consorziobacchiglione.it/dettagli/attodigara/1007/manutenzione-e-riparazione-mezzo-con-targa-akd221.html"</f>
        <v>https://portaletrasparenza.consorziobacchiglione.it/dettagli/attodigara/1007/manutenzione-e-riparazione-mezzo-con-targa-akd221.html</v>
      </c>
      <c r="U996" t="str">
        <f>""</f>
        <v/>
      </c>
      <c r="V99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97" spans="1:22" x14ac:dyDescent="0.3">
      <c r="A997" t="str">
        <f>"Affidamento"</f>
        <v>Affidamento</v>
      </c>
      <c r="B997" t="str">
        <f>"Noleggio Dumper per trasporto materiale di risulta dallo scavo Diramazione Altipiano"</f>
        <v>Noleggio Dumper per trasporto materiale di risulta dallo scavo Diramazione Altipiano</v>
      </c>
      <c r="C997" t="str">
        <f>"ZDD1C911E1"</f>
        <v>ZDD1C911E1</v>
      </c>
      <c r="D997" t="str">
        <f>"04/11/2021"</f>
        <v>04/11/2021</v>
      </c>
      <c r="E997" t="str">
        <f>""</f>
        <v/>
      </c>
      <c r="F997" t="str">
        <f>""</f>
        <v/>
      </c>
      <c r="G997" t="str">
        <f>"1920.00"</f>
        <v>1920.00</v>
      </c>
      <c r="H997" t="str">
        <f>"Consorzio di bonifica Bacchiglione"</f>
        <v>Consorzio di bonifica Bacchiglione</v>
      </c>
      <c r="I997" t="str">
        <f>"92223390284"</f>
        <v>92223390284</v>
      </c>
      <c r="J997" t="str">
        <f>"23-AFFIDAMENTO DIRETTO"</f>
        <v>23-AFFIDAMENTO DIRETTO</v>
      </c>
      <c r="K997" t="str">
        <f>"16/12/2021"</f>
        <v>16/12/2021</v>
      </c>
      <c r="L997" t="str">
        <f>"03/01/2021"</f>
        <v>03/01/2021</v>
      </c>
      <c r="M997" t="str">
        <f>""</f>
        <v/>
      </c>
      <c r="N997" t="str">
        <f>"Viale Valter Via 1° Maggio 124 30010 Campagna Lupia VE"</f>
        <v>Viale Valter Via 1° Maggio 124 30010 Campagna Lupia VE</v>
      </c>
      <c r="O997" t="str">
        <f>"Viale Valter Via 1° Maggio 124 30010 Campagna Lupia VE"</f>
        <v>Viale Valter Via 1° Maggio 124 30010 Campagna Lupia VE</v>
      </c>
      <c r="P997" t="str">
        <f>"ZDD1C911E1: [1920.00€ ]"</f>
        <v>ZDD1C911E1: [1920.00€ ]</v>
      </c>
      <c r="Q997" t="str">
        <f>""</f>
        <v/>
      </c>
      <c r="R997" t="str">
        <f>""</f>
        <v/>
      </c>
      <c r="S997" t="str">
        <f>""</f>
        <v/>
      </c>
      <c r="T997" t="str">
        <f>"https://portaletrasparenza.consorziobacchiglione.it/dettagli/attodigara/1006/noleggio-dumper-per-trasporto-materiale-di-risulta-dallo-scavo-diramazione-altipiano.html"</f>
        <v>https://portaletrasparenza.consorziobacchiglione.it/dettagli/attodigara/1006/noleggio-dumper-per-trasporto-materiale-di-risulta-dallo-scavo-diramazione-altipiano.html</v>
      </c>
      <c r="U997" t="str">
        <f>""</f>
        <v/>
      </c>
      <c r="V9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98" spans="1:22" x14ac:dyDescent="0.3">
      <c r="A998" t="str">
        <f>"Affidamento"</f>
        <v>Affidamento</v>
      </c>
      <c r="B998" t="str">
        <f>"COMPLETAMENTO DELL'IMPORTO PRECEDENTEMENTE AFFIDATO CON DETERMINA N. 924/2020 PER EFFETTUAZIONE CORSI DI PRIMO SOCCORSO EX NOVO ED AGGIORNAMENTO AL PERSONALE CONSORZIALE."</f>
        <v>COMPLETAMENTO DELL'IMPORTO PRECEDENTEMENTE AFFIDATO CON DETERMINA N. 924/2020 PER EFFETTUAZIONE CORSI DI PRIMO SOCCORSO EX NOVO ED AGGIORNAMENTO AL PERSONALE CONSORZIALE.</v>
      </c>
      <c r="C998" t="str">
        <f>"ZC22FD5183"</f>
        <v>ZC22FD5183</v>
      </c>
      <c r="D998" t="str">
        <f>"05/01/2021"</f>
        <v>05/01/2021</v>
      </c>
      <c r="E998" t="str">
        <f>""</f>
        <v/>
      </c>
      <c r="F998" t="str">
        <f>""</f>
        <v/>
      </c>
      <c r="G998" t="str">
        <f>"1470.00"</f>
        <v>1470.00</v>
      </c>
      <c r="H998" t="str">
        <f>"CONSORZIO DI BONIFICA BACCHIGLIONE"</f>
        <v>CONSORZIO DI BONIFICA BACCHIGLIONE</v>
      </c>
      <c r="I998" t="str">
        <f>"92223390284"</f>
        <v>92223390284</v>
      </c>
      <c r="J998" t="str">
        <f>"23-AFFIDAMENTO DIRETTO"</f>
        <v>23-AFFIDAMENTO DIRETTO</v>
      </c>
      <c r="K998" t="str">
        <f>"16/12/2021"</f>
        <v>16/12/2021</v>
      </c>
      <c r="L998" t="str">
        <f>"23/04/2021"</f>
        <v>23/04/2021</v>
      </c>
      <c r="M998" t="str">
        <f>""</f>
        <v/>
      </c>
      <c r="N998" t="str">
        <f>"Scuola Edile Padova Via Basilicata 10 35127 (Camin) Padova | SCUOLA EDILE PADOVA | SCUOLA EDILE - CPT CENTRO PER LA FORMAZIONE"</f>
        <v>Scuola Edile Padova Via Basilicata 10 35127 (Camin) Padova | SCUOLA EDILE PADOVA | SCUOLA EDILE - CPT CENTRO PER LA FORMAZIONE</v>
      </c>
      <c r="O998" t="str">
        <f>"SCUOLA EDILE PADOVA"</f>
        <v>SCUOLA EDILE PADOVA</v>
      </c>
      <c r="P998" t="s">
        <v>193</v>
      </c>
      <c r="Q998" t="str">
        <f>""</f>
        <v/>
      </c>
      <c r="R998" t="str">
        <f>""</f>
        <v/>
      </c>
      <c r="S998" t="str">
        <f>""</f>
        <v/>
      </c>
      <c r="T998" t="str">
        <f>"https://portaletrasparenza.consorziobacchiglione.it/dettagli/attodigara/4081/completamento-dell-importo-precedentemente-affidato-con-determina-n-924-2020-per-effettuazione-corsi-di-primo-soccorso-ex-novo-ed-aggiornamento-al-personale-consorziale.html"</f>
        <v>https://portaletrasparenza.consorziobacchiglione.it/dettagli/attodigara/4081/completamento-dell-importo-precedentemente-affidato-con-determina-n-924-2020-per-effettuazione-corsi-di-primo-soccorso-ex-novo-ed-aggiornamento-al-personale-consorziale.html</v>
      </c>
      <c r="U998" t="str">
        <f>"https://portaletrasparenza.consorziobacchiglione.it/download/attodigara/4081/62a2093d82067.PDF,https://portaletrasparenza.consorziobacchiglione.it/download/attodigara/4081/62a2094cf3fb9.PDF"</f>
        <v>https://portaletrasparenza.consorziobacchiglione.it/download/attodigara/4081/62a2093d82067.PDF,https://portaletrasparenza.consorziobacchiglione.it/download/attodigara/4081/62a2094cf3fb9.PDF</v>
      </c>
      <c r="V9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999" spans="1:22" x14ac:dyDescent="0.3">
      <c r="A999" t="str">
        <f>"Affidamento"</f>
        <v>Affidamento</v>
      </c>
      <c r="B999" t="str">
        <f>"Fornitura materiale elettrico per vari Impianti"</f>
        <v>Fornitura materiale elettrico per vari Impianti</v>
      </c>
      <c r="C999" t="str">
        <f>"Z6B3475331"</f>
        <v>Z6B3475331</v>
      </c>
      <c r="D999" t="str">
        <f>"17/12/2021"</f>
        <v>17/12/2021</v>
      </c>
      <c r="E999" t="str">
        <f>""</f>
        <v/>
      </c>
      <c r="F999" t="str">
        <f>""</f>
        <v/>
      </c>
      <c r="G999" t="str">
        <f>"1818.34"</f>
        <v>1818.34</v>
      </c>
      <c r="H999" t="str">
        <f>"Consorzio di bonifica Bacchiglione"</f>
        <v>Consorzio di bonifica Bacchiglione</v>
      </c>
      <c r="I999" t="str">
        <f>"92223390284"</f>
        <v>92223390284</v>
      </c>
      <c r="J999" t="str">
        <f>"23-AFFIDAMENTO DIRETTO"</f>
        <v>23-AFFIDAMENTO DIRETTO</v>
      </c>
      <c r="K999" t="str">
        <f>"16/12/2021"</f>
        <v>16/12/2021</v>
      </c>
      <c r="L999" t="str">
        <f>"07/04/2022"</f>
        <v>07/04/2022</v>
      </c>
      <c r="M999" t="str">
        <f>""</f>
        <v/>
      </c>
      <c r="N999" t="str">
        <f>"Marchiol S.P.A. Viale della Repubblica 41 31020 sede legale Villorba TV"</f>
        <v>Marchiol S.P.A. Viale della Repubblica 41 31020 sede legale Villorba TV</v>
      </c>
      <c r="O999" t="str">
        <f>"Marchiol S.P.A. Viale della Repubblica 41 31020 sede legale Villorba TV"</f>
        <v>Marchiol S.P.A. Viale della Repubblica 41 31020 sede legale Villorba TV</v>
      </c>
      <c r="P999" t="s">
        <v>250</v>
      </c>
      <c r="Q999" t="str">
        <f>""</f>
        <v/>
      </c>
      <c r="R999" t="str">
        <f>""</f>
        <v/>
      </c>
      <c r="S999" t="str">
        <f>""</f>
        <v/>
      </c>
      <c r="T999" t="str">
        <f>"https://portaletrasparenza.consorziobacchiglione.it/dettagli/attodigara/7362/fornitura-materiale-elettrico-per-vari-impianti.html"</f>
        <v>https://portaletrasparenza.consorziobacchiglione.it/dettagli/attodigara/7362/fornitura-materiale-elettrico-per-vari-impianti.html</v>
      </c>
      <c r="U999" t="str">
        <f>"https://portaletrasparenza.consorziobacchiglione.it/download/attodigara/7362/63ac45fc1086d.PDF"</f>
        <v>https://portaletrasparenza.consorziobacchiglione.it/download/attodigara/7362/63ac45fc1086d.PDF</v>
      </c>
      <c r="V9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00" spans="1:22" x14ac:dyDescent="0.3">
      <c r="A1000" t="str">
        <f>"Affidamento"</f>
        <v>Affidamento</v>
      </c>
      <c r="B1000" t="str">
        <f>"Trasporto Dumper cingolato da scolo Pioga a scolo Cavaizza di Lova"</f>
        <v>Trasporto Dumper cingolato da scolo Pioga a scolo Cavaizza di Lova</v>
      </c>
      <c r="C1000" t="str">
        <f>"ZDC3474E5A"</f>
        <v>ZDC3474E5A</v>
      </c>
      <c r="D1000" t="str">
        <f>"17/12/2021"</f>
        <v>17/12/2021</v>
      </c>
      <c r="E1000" t="str">
        <f>""</f>
        <v/>
      </c>
      <c r="F1000" t="str">
        <f>""</f>
        <v/>
      </c>
      <c r="G1000" t="str">
        <f>"210.00"</f>
        <v>210.00</v>
      </c>
      <c r="H1000" t="str">
        <f>"Consorzio di bonifica Bacchiglione"</f>
        <v>Consorzio di bonifica Bacchiglione</v>
      </c>
      <c r="I1000" t="str">
        <f>"92223390284"</f>
        <v>92223390284</v>
      </c>
      <c r="J1000" t="str">
        <f>"23-AFFIDAMENTO DIRETTO"</f>
        <v>23-AFFIDAMENTO DIRETTO</v>
      </c>
      <c r="K1000" t="str">
        <f>"16/12/2021"</f>
        <v>16/12/2021</v>
      </c>
      <c r="L1000" t="str">
        <f>"23/12/2021"</f>
        <v>23/12/2021</v>
      </c>
      <c r="M1000" t="str">
        <f>""</f>
        <v/>
      </c>
      <c r="N1000" t="str">
        <f>"Trovò s.r.l. Via Idrovora, 3 - 35020 Codevigo (PD)"</f>
        <v>Trovò s.r.l. Via Idrovora, 3 - 35020 Codevigo (PD)</v>
      </c>
      <c r="O1000" t="str">
        <f>"Trovò s.r.l. Via Idrovora, 3 - 35020 Codevigo (PD)"</f>
        <v>Trovò s.r.l. Via Idrovora, 3 - 35020 Codevigo (PD)</v>
      </c>
      <c r="P1000" t="s">
        <v>302</v>
      </c>
      <c r="Q1000" t="str">
        <f>""</f>
        <v/>
      </c>
      <c r="R1000" t="str">
        <f>""</f>
        <v/>
      </c>
      <c r="S1000" t="str">
        <f>""</f>
        <v/>
      </c>
      <c r="T1000" t="str">
        <f>"https://portaletrasparenza.consorziobacchiglione.it/dettagli/attodigara/7361/trasporto-dumper-cingolato-da-scolo-pioga-a-scolo-cavaizza-di-lova.html"</f>
        <v>https://portaletrasparenza.consorziobacchiglione.it/dettagli/attodigara/7361/trasporto-dumper-cingolato-da-scolo-pioga-a-scolo-cavaizza-di-lova.html</v>
      </c>
      <c r="U1000" t="str">
        <f>"https://portaletrasparenza.consorziobacchiglione.it/download/attodigara/7361/63ac45fbcb977.PDF"</f>
        <v>https://portaletrasparenza.consorziobacchiglione.it/download/attodigara/7361/63ac45fbcb977.PDF</v>
      </c>
      <c r="V10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01" spans="1:22" x14ac:dyDescent="0.3">
      <c r="A1001" t="str">
        <f>"Affidamento"</f>
        <v>Affidamento</v>
      </c>
      <c r="B1001" t="str">
        <f>"Fornitura di n.1 motopompa vuotoassistita Mod. KT065 - 150/DP da consegnarsi presso il C.O.S.Margherita di Codevigo Via Idrovora n.7."</f>
        <v>Fornitura di n.1 motopompa vuotoassistita Mod. KT065 - 150/DP da consegnarsi presso il C.O.S.Margherita di Codevigo Via Idrovora n.7.</v>
      </c>
      <c r="C1001" t="str">
        <f>"ZD53475936"</f>
        <v>ZD53475936</v>
      </c>
      <c r="D1001" t="str">
        <f>"17/12/2021"</f>
        <v>17/12/2021</v>
      </c>
      <c r="E1001" t="str">
        <f>""</f>
        <v/>
      </c>
      <c r="F1001" t="str">
        <f>""</f>
        <v/>
      </c>
      <c r="G1001" t="str">
        <f>"22248.00"</f>
        <v>22248.00</v>
      </c>
      <c r="H1001" t="str">
        <f>"Consorzio di bonifica Bacchiglione"</f>
        <v>Consorzio di bonifica Bacchiglione</v>
      </c>
      <c r="I1001" t="str">
        <f>"92223390284"</f>
        <v>92223390284</v>
      </c>
      <c r="J1001" t="str">
        <f>"23-AFFIDAMENTO DIRETTO"</f>
        <v>23-AFFIDAMENTO DIRETTO</v>
      </c>
      <c r="K1001" t="str">
        <f>"16/12/2021"</f>
        <v>16/12/2021</v>
      </c>
      <c r="L1001" t="str">
        <f>"11/07/2022"</f>
        <v>11/07/2022</v>
      </c>
      <c r="M1001" t="str">
        <f>""</f>
        <v/>
      </c>
      <c r="N1001" t="str">
        <f>"Idrofoglia S.R.L. Via Provinciale, 14 - 61026 Lunano (PU)"</f>
        <v>Idrofoglia S.R.L. Via Provinciale, 14 - 61026 Lunano (PU)</v>
      </c>
      <c r="O1001" t="str">
        <f>"Idrofoglia S.R.L. Via Provinciale, 14 - 61026 Lunano (PU)"</f>
        <v>Idrofoglia S.R.L. Via Provinciale, 14 - 61026 Lunano (PU)</v>
      </c>
      <c r="P1001" t="str">
        <f>"ZD53475936: [22248.00€ ]"</f>
        <v>ZD53475936: [22248.00€ ]</v>
      </c>
      <c r="Q1001" t="str">
        <f>""</f>
        <v/>
      </c>
      <c r="R1001" t="str">
        <f>""</f>
        <v/>
      </c>
      <c r="S1001" t="str">
        <f>""</f>
        <v/>
      </c>
      <c r="T1001" t="str">
        <f>"https://portaletrasparenza.consorziobacchiglione.it/dettagli/attodigara/7363/fornitura-di-n-1-motopompa-vuotoassistita-mod-kt065-150-dp-da-consegnarsi-presso-il-c-o-s-margherita-di-codevigo-via-idrovora-n-7.html"</f>
        <v>https://portaletrasparenza.consorziobacchiglione.it/dettagli/attodigara/7363/fornitura-di-n-1-motopompa-vuotoassistita-mod-kt065-150-dp-da-consegnarsi-presso-il-c-o-s-margherita-di-codevigo-via-idrovora-n-7.html</v>
      </c>
      <c r="U1001" t="str">
        <f>"https://portaletrasparenza.consorziobacchiglione.it/download/attodigara/7363/63ac45fc49763.PDF"</f>
        <v>https://portaletrasparenza.consorziobacchiglione.it/download/attodigara/7363/63ac45fc49763.PDF</v>
      </c>
      <c r="V100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02" spans="1:22" x14ac:dyDescent="0.3">
      <c r="A1002" t="str">
        <f>"Affidamento"</f>
        <v>Affidamento</v>
      </c>
      <c r="B1002" t="str">
        <f>"Fornitura batteria fiamm per avviamento motobarca n.8"</f>
        <v>Fornitura batteria fiamm per avviamento motobarca n.8</v>
      </c>
      <c r="C1002" t="str">
        <f>"ZAB347365C"</f>
        <v>ZAB347365C</v>
      </c>
      <c r="D1002" t="str">
        <f>"17/12/2021"</f>
        <v>17/12/2021</v>
      </c>
      <c r="E1002" t="str">
        <f>""</f>
        <v/>
      </c>
      <c r="F1002" t="str">
        <f>""</f>
        <v/>
      </c>
      <c r="G1002" t="str">
        <f>"80.00"</f>
        <v>80.00</v>
      </c>
      <c r="H1002" t="str">
        <f>"Consorzio di bonifica Bacchiglione"</f>
        <v>Consorzio di bonifica Bacchiglione</v>
      </c>
      <c r="I1002" t="str">
        <f>"92223390284"</f>
        <v>92223390284</v>
      </c>
      <c r="J1002" t="str">
        <f>"23-AFFIDAMENTO DIRETTO"</f>
        <v>23-AFFIDAMENTO DIRETTO</v>
      </c>
      <c r="K1002" t="str">
        <f>"16/12/2021"</f>
        <v>16/12/2021</v>
      </c>
      <c r="L1002" t="str">
        <f>"06/08/2022"</f>
        <v>06/08/2022</v>
      </c>
      <c r="M1002" t="str">
        <f>""</f>
        <v/>
      </c>
      <c r="N1002" t="str">
        <f>"Vise Elettrocar Via Montagnon 61 35028 Tognana di Piove di Sacco PD"</f>
        <v>Vise Elettrocar Via Montagnon 61 35028 Tognana di Piove di Sacco PD</v>
      </c>
      <c r="O1002" t="str">
        <f>"Vise Elettrocar Via Montagnon 61 35028 Tognana di Piove di Sacco PD"</f>
        <v>Vise Elettrocar Via Montagnon 61 35028 Tognana di Piove di Sacco PD</v>
      </c>
      <c r="P1002" t="str">
        <f>"ZAB347365C: [80.00€ ]"</f>
        <v>ZAB347365C: [80.00€ ]</v>
      </c>
      <c r="Q1002" t="str">
        <f>""</f>
        <v/>
      </c>
      <c r="R1002" t="str">
        <f>""</f>
        <v/>
      </c>
      <c r="S1002" t="str">
        <f>""</f>
        <v/>
      </c>
      <c r="T1002" t="str">
        <f>"https://portaletrasparenza.consorziobacchiglione.it/dettagli/attodigara/7360/fornitura-batteria-fiamm-per-avviamento-motobarca-n-8.html"</f>
        <v>https://portaletrasparenza.consorziobacchiglione.it/dettagli/attodigara/7360/fornitura-batteria-fiamm-per-avviamento-motobarca-n-8.html</v>
      </c>
      <c r="U1002" t="str">
        <f>"https://portaletrasparenza.consorziobacchiglione.it/download/attodigara/7360/63ac45fb928b7.PDF"</f>
        <v>https://portaletrasparenza.consorziobacchiglione.it/download/attodigara/7360/63ac45fb928b7.PDF</v>
      </c>
      <c r="V10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03" spans="1:22" x14ac:dyDescent="0.3">
      <c r="A1003" t="str">
        <f>"Affidamento"</f>
        <v>Affidamento</v>
      </c>
      <c r="B1003" t="str">
        <f>"Riparazione centralina servizio AdBlue e tagliando completo del mezzo targato FZ297XV"</f>
        <v>Riparazione centralina servizio AdBlue e tagliando completo del mezzo targato FZ297XV</v>
      </c>
      <c r="C1003" t="str">
        <f>"ZCE3470EC5"</f>
        <v>ZCE3470EC5</v>
      </c>
      <c r="D1003" t="str">
        <f>"17/12/2021"</f>
        <v>17/12/2021</v>
      </c>
      <c r="E1003" t="str">
        <f>""</f>
        <v/>
      </c>
      <c r="F1003" t="str">
        <f>""</f>
        <v/>
      </c>
      <c r="G1003" t="str">
        <f>"530.00"</f>
        <v>530.00</v>
      </c>
      <c r="H1003" t="str">
        <f>"Consorzio di bonifica Bacchiglione"</f>
        <v>Consorzio di bonifica Bacchiglione</v>
      </c>
      <c r="I1003" t="str">
        <f>"92223390284"</f>
        <v>92223390284</v>
      </c>
      <c r="J1003" t="str">
        <f>"23-AFFIDAMENTO DIRETTO"</f>
        <v>23-AFFIDAMENTO DIRETTO</v>
      </c>
      <c r="K1003" t="str">
        <f>"16/12/2021"</f>
        <v>16/12/2021</v>
      </c>
      <c r="L1003" t="str">
        <f>"06/08/2022"</f>
        <v>06/08/2022</v>
      </c>
      <c r="M1003" t="str">
        <f>""</f>
        <v/>
      </c>
      <c r="N1003" t="str">
        <f>"Vise Elettrocar Via Montagnon 61 35028 Tognana di Piove di Sacco PD"</f>
        <v>Vise Elettrocar Via Montagnon 61 35028 Tognana di Piove di Sacco PD</v>
      </c>
      <c r="O1003" t="str">
        <f>"Vise Elettrocar Via Montagnon 61 35028 Tognana di Piove di Sacco PD"</f>
        <v>Vise Elettrocar Via Montagnon 61 35028 Tognana di Piove di Sacco PD</v>
      </c>
      <c r="P1003" t="str">
        <f>"ZCE3470EC5: [530.00€ ]"</f>
        <v>ZCE3470EC5: [530.00€ ]</v>
      </c>
      <c r="Q1003" t="str">
        <f>""</f>
        <v/>
      </c>
      <c r="R1003" t="str">
        <f>""</f>
        <v/>
      </c>
      <c r="S1003" t="str">
        <f>""</f>
        <v/>
      </c>
      <c r="T1003" t="str">
        <f>"https://portaletrasparenza.consorziobacchiglione.it/dettagli/attodigara/7358/riparazione-centralina-servizio-adblue-e-tagliando-completo-del-mezzo-targato-fz297xv.html"</f>
        <v>https://portaletrasparenza.consorziobacchiglione.it/dettagli/attodigara/7358/riparazione-centralina-servizio-adblue-e-tagliando-completo-del-mezzo-targato-fz297xv.html</v>
      </c>
      <c r="U1003" t="str">
        <f>"https://portaletrasparenza.consorziobacchiglione.it/download/attodigara/7358/63ac45fb1e8ac.PDF"</f>
        <v>https://portaletrasparenza.consorziobacchiglione.it/download/attodigara/7358/63ac45fb1e8ac.PDF</v>
      </c>
      <c r="V10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04" spans="1:22" x14ac:dyDescent="0.3">
      <c r="A1004" t="str">
        <f>"Affidamento"</f>
        <v>Affidamento</v>
      </c>
      <c r="B1004" t="str">
        <f>"Riparazione centralina GPS e sensore pressione del mezzo targato DN881SC"</f>
        <v>Riparazione centralina GPS e sensore pressione del mezzo targato DN881SC</v>
      </c>
      <c r="C1004" t="str">
        <f>"ZA43470C46"</f>
        <v>ZA43470C46</v>
      </c>
      <c r="D1004" t="str">
        <f>"17/12/2021"</f>
        <v>17/12/2021</v>
      </c>
      <c r="E1004" t="str">
        <f>""</f>
        <v/>
      </c>
      <c r="F1004" t="str">
        <f>""</f>
        <v/>
      </c>
      <c r="G1004" t="str">
        <f>"666.00"</f>
        <v>666.00</v>
      </c>
      <c r="H1004" t="str">
        <f>"Consorzio di bonifica Bacchiglione"</f>
        <v>Consorzio di bonifica Bacchiglione</v>
      </c>
      <c r="I1004" t="str">
        <f>"92223390284"</f>
        <v>92223390284</v>
      </c>
      <c r="J1004" t="str">
        <f>"23-AFFIDAMENTO DIRETTO"</f>
        <v>23-AFFIDAMENTO DIRETTO</v>
      </c>
      <c r="K1004" t="str">
        <f>"16/12/2021"</f>
        <v>16/12/2021</v>
      </c>
      <c r="L1004" t="str">
        <f>"06/08/2022"</f>
        <v>06/08/2022</v>
      </c>
      <c r="M1004" t="str">
        <f>""</f>
        <v/>
      </c>
      <c r="N1004" t="str">
        <f>"Vise Elettrocar Via Montagnon 61 35028 Tognana di Piove di Sacco PD"</f>
        <v>Vise Elettrocar Via Montagnon 61 35028 Tognana di Piove di Sacco PD</v>
      </c>
      <c r="O1004" t="str">
        <f>"Vise Elettrocar Via Montagnon 61 35028 Tognana di Piove di Sacco PD"</f>
        <v>Vise Elettrocar Via Montagnon 61 35028 Tognana di Piove di Sacco PD</v>
      </c>
      <c r="P1004" t="str">
        <f>"ZA43470C46: [666.00€ ]"</f>
        <v>ZA43470C46: [666.00€ ]</v>
      </c>
      <c r="Q1004" t="str">
        <f>""</f>
        <v/>
      </c>
      <c r="R1004" t="str">
        <f>""</f>
        <v/>
      </c>
      <c r="S1004" t="str">
        <f>""</f>
        <v/>
      </c>
      <c r="T1004" t="str">
        <f>"https://portaletrasparenza.consorziobacchiglione.it/dettagli/attodigara/7357/riparazione-centralina-gps-e-sensore-pressione-del-mezzo-targato-dn881sc.html"</f>
        <v>https://portaletrasparenza.consorziobacchiglione.it/dettagli/attodigara/7357/riparazione-centralina-gps-e-sensore-pressione-del-mezzo-targato-dn881sc.html</v>
      </c>
      <c r="U1004" t="str">
        <f>"https://portaletrasparenza.consorziobacchiglione.it/download/attodigara/7357/63ac45fad99b0.PDF"</f>
        <v>https://portaletrasparenza.consorziobacchiglione.it/download/attodigara/7357/63ac45fad99b0.PDF</v>
      </c>
      <c r="V10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05" spans="1:22" x14ac:dyDescent="0.3">
      <c r="A1005" t="str">
        <f>"Affidamento"</f>
        <v>Affidamento</v>
      </c>
      <c r="B1005" t="str">
        <f>"Riparazione scheda elettronica del mezzo targato : EW930NS"</f>
        <v>Riparazione scheda elettronica del mezzo targato : EW930NS</v>
      </c>
      <c r="C1005" t="str">
        <f>"Z55347099C"</f>
        <v>Z55347099C</v>
      </c>
      <c r="D1005" t="str">
        <f>"17/12/2021"</f>
        <v>17/12/2021</v>
      </c>
      <c r="E1005" t="str">
        <f>""</f>
        <v/>
      </c>
      <c r="F1005" t="str">
        <f>""</f>
        <v/>
      </c>
      <c r="G1005" t="str">
        <f>"320.00"</f>
        <v>320.00</v>
      </c>
      <c r="H1005" t="str">
        <f>"Consorzio di bonifica Bacchiglione"</f>
        <v>Consorzio di bonifica Bacchiglione</v>
      </c>
      <c r="I1005" t="str">
        <f>"92223390284"</f>
        <v>92223390284</v>
      </c>
      <c r="J1005" t="str">
        <f>"23-AFFIDAMENTO DIRETTO"</f>
        <v>23-AFFIDAMENTO DIRETTO</v>
      </c>
      <c r="K1005" t="str">
        <f>"16/12/2021"</f>
        <v>16/12/2021</v>
      </c>
      <c r="L1005" t="str">
        <f>"06/08/2022"</f>
        <v>06/08/2022</v>
      </c>
      <c r="M1005" t="str">
        <f>""</f>
        <v/>
      </c>
      <c r="N1005" t="str">
        <f>"Vise Elettrocar Via Montagnon 61 35028 Tognana di Piove di Sacco PD"</f>
        <v>Vise Elettrocar Via Montagnon 61 35028 Tognana di Piove di Sacco PD</v>
      </c>
      <c r="O1005" t="str">
        <f>"Vise Elettrocar Via Montagnon 61 35028 Tognana di Piove di Sacco PD"</f>
        <v>Vise Elettrocar Via Montagnon 61 35028 Tognana di Piove di Sacco PD</v>
      </c>
      <c r="P1005" t="str">
        <f>"Z55347099C: [320.00€ ]"</f>
        <v>Z55347099C: [320.00€ ]</v>
      </c>
      <c r="Q1005" t="str">
        <f>""</f>
        <v/>
      </c>
      <c r="R1005" t="str">
        <f>""</f>
        <v/>
      </c>
      <c r="S1005" t="str">
        <f>""</f>
        <v/>
      </c>
      <c r="T1005" t="str">
        <f>"https://portaletrasparenza.consorziobacchiglione.it/dettagli/attodigara/7356/riparazione-scheda-elettronica-del-mezzo-targato-ew930ns.html"</f>
        <v>https://portaletrasparenza.consorziobacchiglione.it/dettagli/attodigara/7356/riparazione-scheda-elettronica-del-mezzo-targato-ew930ns.html</v>
      </c>
      <c r="U1005" t="str">
        <f>"https://portaletrasparenza.consorziobacchiglione.it/download/attodigara/7356/63ac45faa0b15.PDF"</f>
        <v>https://portaletrasparenza.consorziobacchiglione.it/download/attodigara/7356/63ac45faa0b15.PDF</v>
      </c>
      <c r="V100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06" spans="1:22" x14ac:dyDescent="0.3">
      <c r="A1006" t="str">
        <f>"Affidamento"</f>
        <v>Affidamento</v>
      </c>
      <c r="B1006" t="str">
        <f>"Riparazione centralina GPS e tagliando completo del mezzo targato: FF284VN"</f>
        <v>Riparazione centralina GPS e tagliando completo del mezzo targato: FF284VN</v>
      </c>
      <c r="C1006" t="str">
        <f>"Z1834710B3"</f>
        <v>Z1834710B3</v>
      </c>
      <c r="D1006" t="str">
        <f>"17/12/2021"</f>
        <v>17/12/2021</v>
      </c>
      <c r="E1006" t="str">
        <f>""</f>
        <v/>
      </c>
      <c r="F1006" t="str">
        <f>""</f>
        <v/>
      </c>
      <c r="G1006" t="str">
        <f>"848.80"</f>
        <v>848.80</v>
      </c>
      <c r="H1006" t="str">
        <f>"Consorzio di bonifica Bacchiglione"</f>
        <v>Consorzio di bonifica Bacchiglione</v>
      </c>
      <c r="I1006" t="str">
        <f>"92223390284"</f>
        <v>92223390284</v>
      </c>
      <c r="J1006" t="str">
        <f>"23-AFFIDAMENTO DIRETTO"</f>
        <v>23-AFFIDAMENTO DIRETTO</v>
      </c>
      <c r="K1006" t="str">
        <f>"16/12/2021"</f>
        <v>16/12/2021</v>
      </c>
      <c r="L1006" t="str">
        <f>"06/08/2022"</f>
        <v>06/08/2022</v>
      </c>
      <c r="M1006" t="str">
        <f>""</f>
        <v/>
      </c>
      <c r="N1006" t="str">
        <f>"Vise Elettrocar Via Montagnon 61 35028 Tognana di Piove di Sacco PD"</f>
        <v>Vise Elettrocar Via Montagnon 61 35028 Tognana di Piove di Sacco PD</v>
      </c>
      <c r="O1006" t="str">
        <f>"Vise Elettrocar Via Montagnon 61 35028 Tognana di Piove di Sacco PD"</f>
        <v>Vise Elettrocar Via Montagnon 61 35028 Tognana di Piove di Sacco PD</v>
      </c>
      <c r="P1006" t="str">
        <f>"Z1834710B3: [848.00€ ]"</f>
        <v>Z1834710B3: [848.00€ ]</v>
      </c>
      <c r="Q1006" t="str">
        <f>""</f>
        <v/>
      </c>
      <c r="R1006" t="str">
        <f>""</f>
        <v/>
      </c>
      <c r="S1006" t="str">
        <f>""</f>
        <v/>
      </c>
      <c r="T1006" t="str">
        <f>"https://portaletrasparenza.consorziobacchiglione.it/dettagli/attodigara/7359/riparazione-centralina-gps-e-tagliando-completo-del-mezzo-targato-ff284vn.html"</f>
        <v>https://portaletrasparenza.consorziobacchiglione.it/dettagli/attodigara/7359/riparazione-centralina-gps-e-tagliando-completo-del-mezzo-targato-ff284vn.html</v>
      </c>
      <c r="U1006" t="str">
        <f>"https://portaletrasparenza.consorziobacchiglione.it/download/attodigara/7359/63ac45fb57e40.PDF"</f>
        <v>https://portaletrasparenza.consorziobacchiglione.it/download/attodigara/7359/63ac45fb57e40.PDF</v>
      </c>
      <c r="V1006">
        <f>(SUBSTITUTE(Tabella1[[#This Row],[Importo di aggiudicazione]],".",","))-(SUBSTITUTE(  SUBSTITUTE(          SUBSTITUTE(Tabella1[[#This Row],[Dettaglio somme liquidate]],Tabella1[[#This Row],[CIG]]&amp;": [",""),"€ ]",""),".",","))</f>
        <v>0.79999999999995453</v>
      </c>
    </row>
    <row r="1007" spans="1:22" x14ac:dyDescent="0.3">
      <c r="A1007" t="str">
        <f>"Affidamento"</f>
        <v>Affidamento</v>
      </c>
      <c r="B1007" t="str">
        <f>"Fornitura di meccanismi di apertura paratoia con attuatore a batteria presso By Pass Boracchia"</f>
        <v>Fornitura di meccanismi di apertura paratoia con attuatore a batteria presso By Pass Boracchia</v>
      </c>
      <c r="C1007" t="str">
        <f>"Z83346FB89"</f>
        <v>Z83346FB89</v>
      </c>
      <c r="D1007" t="str">
        <f>"17/12/2021"</f>
        <v>17/12/2021</v>
      </c>
      <c r="E1007" t="str">
        <f>""</f>
        <v/>
      </c>
      <c r="F1007" t="str">
        <f>""</f>
        <v/>
      </c>
      <c r="G1007" t="str">
        <f>"348.00"</f>
        <v>348.00</v>
      </c>
      <c r="H1007" t="str">
        <f>"Consorzio di bonifica Bacchiglione"</f>
        <v>Consorzio di bonifica Bacchiglione</v>
      </c>
      <c r="I1007" t="str">
        <f>"92223390284"</f>
        <v>92223390284</v>
      </c>
      <c r="J1007" t="str">
        <f>"23-AFFIDAMENTO DIRETTO"</f>
        <v>23-AFFIDAMENTO DIRETTO</v>
      </c>
      <c r="K1007" t="str">
        <f>"16/12/2021"</f>
        <v>16/12/2021</v>
      </c>
      <c r="L1007" t="str">
        <f>"31/12/2021"</f>
        <v>31/12/2021</v>
      </c>
      <c r="M1007" t="str">
        <f>""</f>
        <v/>
      </c>
      <c r="N1007" t="str">
        <f>"GV Carpenteria Via Santa Chiara 26 35040 Sant'Elena PD"</f>
        <v>GV Carpenteria Via Santa Chiara 26 35040 Sant'Elena PD</v>
      </c>
      <c r="O1007" t="str">
        <f>"GV Carpenteria Via Santa Chiara 26 35040 Sant'Elena PD"</f>
        <v>GV Carpenteria Via Santa Chiara 26 35040 Sant'Elena PD</v>
      </c>
      <c r="P1007" t="str">
        <f>"Z83346FB89: [0.00€ ]"</f>
        <v>Z83346FB89: [0.00€ ]</v>
      </c>
      <c r="Q1007" t="str">
        <f>""</f>
        <v/>
      </c>
      <c r="R1007" t="str">
        <f>""</f>
        <v/>
      </c>
      <c r="S1007" t="str">
        <f>""</f>
        <v/>
      </c>
      <c r="T1007" t="str">
        <f>"https://portaletrasparenza.consorziobacchiglione.it/dettagli/attodigara/7355/fornitura-di-meccanismi-di-apertura-paratoia-con-attuatore-a-batteria-presso-by-pass-boracchia.html"</f>
        <v>https://portaletrasparenza.consorziobacchiglione.it/dettagli/attodigara/7355/fornitura-di-meccanismi-di-apertura-paratoia-con-attuatore-a-batteria-presso-by-pass-boracchia.html</v>
      </c>
      <c r="U1007" t="str">
        <f>"https://portaletrasparenza.consorziobacchiglione.it/download/attodigara/7355/62a210f0e4e20.PDF"</f>
        <v>https://portaletrasparenza.consorziobacchiglione.it/download/attodigara/7355/62a210f0e4e20.PDF</v>
      </c>
      <c r="V1007">
        <f>(SUBSTITUTE(Tabella1[[#This Row],[Importo di aggiudicazione]],".",","))-(SUBSTITUTE(  SUBSTITUTE(          SUBSTITUTE(Tabella1[[#This Row],[Dettaglio somme liquidate]],Tabella1[[#This Row],[CIG]]&amp;": [",""),"€ ]",""),".",","))</f>
        <v>348</v>
      </c>
    </row>
    <row r="1008" spans="1:22" x14ac:dyDescent="0.3">
      <c r="A1008" t="str">
        <f>"Affidamento"</f>
        <v>Affidamento</v>
      </c>
      <c r="B1008" t="str">
        <f>"Determina per l esercizio dell opzione unilaterale di affidamento delle opzioni 1 e 2 all Impresa VPS S.R.L.. - Processo ID 020-17."</f>
        <v>Determina per l esercizio dell opzione unilaterale di affidamento delle opzioni 1 e 2 all Impresa VPS S.R.L.. - Processo ID 020-17.</v>
      </c>
      <c r="C1008" t="str">
        <f>"8778742F0F"</f>
        <v>8778742F0F</v>
      </c>
      <c r="D1008" t="str">
        <f>"20/12/2021"</f>
        <v>20/12/2021</v>
      </c>
      <c r="E1008" t="str">
        <f>""</f>
        <v/>
      </c>
      <c r="F1008" t="str">
        <f>""</f>
        <v/>
      </c>
      <c r="G1008" t="str">
        <f>"49468.09"</f>
        <v>49468.09</v>
      </c>
      <c r="H1008" t="str">
        <f>"Consorzio di bonifica Bacchiglione"</f>
        <v>Consorzio di bonifica Bacchiglione</v>
      </c>
      <c r="I1008" t="str">
        <f>"92223390284"</f>
        <v>92223390284</v>
      </c>
      <c r="J1008" t="str">
        <f>"23-AFFIDAMENTO DIRETTO"</f>
        <v>23-AFFIDAMENTO DIRETTO</v>
      </c>
      <c r="K1008" t="str">
        <f>"16/12/2021"</f>
        <v>16/12/2021</v>
      </c>
      <c r="L1008" t="str">
        <f>"23/02/2022"</f>
        <v>23/02/2022</v>
      </c>
      <c r="M1008" t="str">
        <f>""</f>
        <v/>
      </c>
      <c r="N1008" t="str">
        <f>"VPS s.r.l."</f>
        <v>VPS s.r.l.</v>
      </c>
      <c r="O1008" t="str">
        <f>"VPS s.r.l."</f>
        <v>VPS s.r.l.</v>
      </c>
      <c r="P1008" t="s">
        <v>126</v>
      </c>
      <c r="Q1008" t="str">
        <f>""</f>
        <v/>
      </c>
      <c r="R1008" t="str">
        <f>""</f>
        <v/>
      </c>
      <c r="S1008" t="str">
        <f>""</f>
        <v/>
      </c>
      <c r="T1008" t="str">
        <f>"https://portaletrasparenza.consorziobacchiglione.it/dettagli/attodigara/6498/determina-per-l-esercizio-dell-opzione-unilaterale-di-affidamento-delle-opzioni-1-e-2-all-impresa-vps-s-r-l-processo-id-020-17.html"</f>
        <v>https://portaletrasparenza.consorziobacchiglione.it/dettagli/attodigara/6498/determina-per-l-esercizio-dell-opzione-unilaterale-di-affidamento-delle-opzioni-1-e-2-all-impresa-vps-s-r-l-processo-id-020-17.html</v>
      </c>
      <c r="U1008" t="str">
        <f>"https://portaletrasparenza.consorziobacchiglione.it/download/attodigara/6498/63ac45fe45830.PDF"</f>
        <v>https://portaletrasparenza.consorziobacchiglione.it/download/attodigara/6498/63ac45fe45830.PDF</v>
      </c>
      <c r="V10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09" spans="1:22" x14ac:dyDescent="0.3">
      <c r="A1009" t="str">
        <f>"Affidamento"</f>
        <v>Affidamento</v>
      </c>
      <c r="B1009" t="str">
        <f>"Affidamento diretto lavori di ripristino scarpata in sx idraulica dello scolo Fiumicello - Processo ID 015-21."</f>
        <v>Affidamento diretto lavori di ripristino scarpata in sx idraulica dello scolo Fiumicello - Processo ID 015-21.</v>
      </c>
      <c r="C1009" t="str">
        <f>"8986060B4A"</f>
        <v>8986060B4A</v>
      </c>
      <c r="D1009" t="str">
        <f>"20/12/2021"</f>
        <v>20/12/2021</v>
      </c>
      <c r="E1009" t="str">
        <f>""</f>
        <v/>
      </c>
      <c r="F1009" t="str">
        <f>""</f>
        <v/>
      </c>
      <c r="G1009" t="str">
        <f>"65056.49"</f>
        <v>65056.49</v>
      </c>
      <c r="H1009" t="str">
        <f>"Consorzio di bonifica Bacchiglione"</f>
        <v>Consorzio di bonifica Bacchiglione</v>
      </c>
      <c r="I1009" t="str">
        <f>"92223390284"</f>
        <v>92223390284</v>
      </c>
      <c r="J1009" t="str">
        <f>"23-AFFIDAMENTO DIRETTO"</f>
        <v>23-AFFIDAMENTO DIRETTO</v>
      </c>
      <c r="K1009" t="str">
        <f>"16/12/2021"</f>
        <v>16/12/2021</v>
      </c>
      <c r="L1009" t="str">
        <f>"03/10/2022"</f>
        <v>03/10/2022</v>
      </c>
      <c r="M1009" t="str">
        <f>""</f>
        <v/>
      </c>
      <c r="N1009" t="str">
        <f>"Capparotto s.r.l. | Costruzioni Ing. Carlo Broetto s.r.l. con Unico Socio | Martini Luciano s.r.l. | Impresa Scala Santo s.r.l. | Bresciani s.r.l."</f>
        <v>Capparotto s.r.l. | Costruzioni Ing. Carlo Broetto s.r.l. con Unico Socio | Martini Luciano s.r.l. | Impresa Scala Santo s.r.l. | Bresciani s.r.l.</v>
      </c>
      <c r="O1009" t="str">
        <f>"Martini Luciano s.r.l."</f>
        <v>Martini Luciano s.r.l.</v>
      </c>
      <c r="P1009" t="s">
        <v>138</v>
      </c>
      <c r="Q1009" t="str">
        <f>""</f>
        <v/>
      </c>
      <c r="R1009" t="str">
        <f>""</f>
        <v/>
      </c>
      <c r="S1009" t="str">
        <f>""</f>
        <v/>
      </c>
      <c r="T1009" t="str">
        <f>"https://portaletrasparenza.consorziobacchiglione.it/dettagli/attodigara/7354/affidamento-diretto-lavori-di-ripristino-scarpata-in-sx-idraulica-dello-scolo-fiumicello-processo-id-015-21.html"</f>
        <v>https://portaletrasparenza.consorziobacchiglione.it/dettagli/attodigara/7354/affidamento-diretto-lavori-di-ripristino-scarpata-in-sx-idraulica-dello-scolo-fiumicello-processo-id-015-21.html</v>
      </c>
      <c r="U1009" t="str">
        <f>"https://portaletrasparenza.consorziobacchiglione.it/download/attodigara/7354/63ac45fcd0c5f.PDF"</f>
        <v>https://portaletrasparenza.consorziobacchiglione.it/download/attodigara/7354/63ac45fcd0c5f.PDF</v>
      </c>
      <c r="V10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10" spans="1:22" x14ac:dyDescent="0.3">
      <c r="A1010" t="str">
        <f>"Affidamento"</f>
        <v>Affidamento</v>
      </c>
      <c r="B1010" t="str">
        <f>"Analisi storica ai fini della valutazione del rischio bellico residuo a supporto del Coordinatore della Sicurezza ai sensi del D. Lgs. 81/2008 e ss.mm.ii (L. 177/2012) - Processo ID 027-21."</f>
        <v>Analisi storica ai fini della valutazione del rischio bellico residuo a supporto del Coordinatore della Sicurezza ai sensi del D. Lgs. 81/2008 e ss.mm.ii (L. 177/2012) - Processo ID 027-21.</v>
      </c>
      <c r="C1010" t="str">
        <f>"ZC734719A1"</f>
        <v>ZC734719A1</v>
      </c>
      <c r="D1010" t="str">
        <f>"20/12/2021"</f>
        <v>20/12/2021</v>
      </c>
      <c r="E1010" t="str">
        <f>""</f>
        <v/>
      </c>
      <c r="F1010" t="str">
        <f>""</f>
        <v/>
      </c>
      <c r="G1010" t="str">
        <f>"1500.00"</f>
        <v>1500.00</v>
      </c>
      <c r="H1010" t="str">
        <f>"Consorzio di bonifica Bacchiglione"</f>
        <v>Consorzio di bonifica Bacchiglione</v>
      </c>
      <c r="I1010" t="str">
        <f>"92223390284"</f>
        <v>92223390284</v>
      </c>
      <c r="J1010" t="str">
        <f>"23-AFFIDAMENTO DIRETTO"</f>
        <v>23-AFFIDAMENTO DIRETTO</v>
      </c>
      <c r="K1010" t="str">
        <f>"16/12/2021"</f>
        <v>16/12/2021</v>
      </c>
      <c r="L1010" t="str">
        <f>"23/02/2022"</f>
        <v>23/02/2022</v>
      </c>
      <c r="M1010" t="str">
        <f>""</f>
        <v/>
      </c>
      <c r="N1010" t="str">
        <f>"SNB Service s.r.l. | Consorzio S.T.E.R.N."</f>
        <v>SNB Service s.r.l. | Consorzio S.T.E.R.N.</v>
      </c>
      <c r="O1010" t="str">
        <f>"Consorzio S.T.E.R.N."</f>
        <v>Consorzio S.T.E.R.N.</v>
      </c>
      <c r="P1010" t="str">
        <f>"ZC734719A1: [1500.00€ ]"</f>
        <v>ZC734719A1: [1500.00€ ]</v>
      </c>
      <c r="Q1010" t="str">
        <f>""</f>
        <v/>
      </c>
      <c r="R1010" t="str">
        <f>""</f>
        <v/>
      </c>
      <c r="S1010" t="str">
        <f>""</f>
        <v/>
      </c>
      <c r="T1010" t="s">
        <v>26</v>
      </c>
      <c r="U1010" t="str">
        <f>"https://portaletrasparenza.consorziobacchiglione.it/download/attodigara/7353/63ac45fd16595.PDF"</f>
        <v>https://portaletrasparenza.consorziobacchiglione.it/download/attodigara/7353/63ac45fd16595.PDF</v>
      </c>
      <c r="V10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11" spans="1:22" x14ac:dyDescent="0.3">
      <c r="A1011" t="str">
        <f>"Affidamento"</f>
        <v>Affidamento</v>
      </c>
      <c r="B1011" t="str">
        <f>"Fornitura di pali in legno di castagno per l'anno 2016"</f>
        <v>Fornitura di pali in legno di castagno per l'anno 2016</v>
      </c>
      <c r="C1011" t="str">
        <f>"65644481DC"</f>
        <v>65644481DC</v>
      </c>
      <c r="D1011" t="str">
        <f>"04/11/2021"</f>
        <v>04/11/2021</v>
      </c>
      <c r="E1011" t="str">
        <f>""</f>
        <v/>
      </c>
      <c r="F1011" t="str">
        <f>""</f>
        <v/>
      </c>
      <c r="G1011" t="str">
        <f>"103118.64"</f>
        <v>103118.64</v>
      </c>
      <c r="H1011" t="str">
        <f>"Consorzio di bonifica Bacchiglione"</f>
        <v>Consorzio di bonifica Bacchiglione</v>
      </c>
      <c r="I1011" t="str">
        <f>"92223390284"</f>
        <v>92223390284</v>
      </c>
      <c r="J1011" t="str">
        <f>"08-AFFIDAMENTO IN ECONOMIA - COTTIMO FIDUCIARIO"</f>
        <v>08-AFFIDAMENTO IN ECONOMIA - COTTIMO FIDUCIARIO</v>
      </c>
      <c r="K1011" t="str">
        <f>"17/02/2021"</f>
        <v>17/02/2021</v>
      </c>
      <c r="L1011" t="str">
        <f>"31/01/2021"</f>
        <v>31/01/2021</v>
      </c>
      <c r="M1011" t="str">
        <f>""</f>
        <v/>
      </c>
      <c r="N1011" t="s">
        <v>74</v>
      </c>
      <c r="O1011" t="str">
        <f>"VALMORBIDA ELIO"</f>
        <v>VALMORBIDA ELIO</v>
      </c>
      <c r="P1011" t="s">
        <v>368</v>
      </c>
      <c r="Q1011" t="str">
        <f>""</f>
        <v/>
      </c>
      <c r="R1011" t="str">
        <f>""</f>
        <v/>
      </c>
      <c r="S1011" t="str">
        <f>""</f>
        <v/>
      </c>
      <c r="T1011" t="str">
        <f>"https://portaletrasparenza.consorziobacchiglione.it/dettagli/attodigara/1/fornitura-di-pali-in-legno-di-castagno-per-l-anno-2016.html"</f>
        <v>https://portaletrasparenza.consorziobacchiglione.it/dettagli/attodigara/1/fornitura-di-pali-in-legno-di-castagno-per-l-anno-2016.html</v>
      </c>
      <c r="U1011" t="str">
        <f>""</f>
        <v/>
      </c>
      <c r="V101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12" spans="1:22" x14ac:dyDescent="0.3">
      <c r="A1012" t="str">
        <f>"Affidamento"</f>
        <v>Affidamento</v>
      </c>
      <c r="B1012" t="str">
        <f>"Manutenzione e riparazione mezzi con targa: CB934XY, EW924ED, AJ206BM."</f>
        <v>Manutenzione e riparazione mezzi con targa: CB934XY, EW924ED, AJ206BM.</v>
      </c>
      <c r="C1012" t="str">
        <f>"ZF51890034"</f>
        <v>ZF51890034</v>
      </c>
      <c r="D1012" t="str">
        <f>"04/11/2021"</f>
        <v>04/11/2021</v>
      </c>
      <c r="E1012" t="str">
        <f>""</f>
        <v/>
      </c>
      <c r="F1012" t="str">
        <f>""</f>
        <v/>
      </c>
      <c r="G1012" t="str">
        <f>"3314.80"</f>
        <v>3314.80</v>
      </c>
      <c r="H1012" t="str">
        <f>"Consorzio di bonifica Bacchiglione"</f>
        <v>Consorzio di bonifica Bacchiglione</v>
      </c>
      <c r="I1012" t="str">
        <f>"92223390284"</f>
        <v>92223390284</v>
      </c>
      <c r="J1012" t="str">
        <f>"23-AFFIDAMENTO DIRETTO"</f>
        <v>23-AFFIDAMENTO DIRETTO</v>
      </c>
      <c r="K1012" t="str">
        <f>"17/02/2021"</f>
        <v>17/02/2021</v>
      </c>
      <c r="L1012" t="str">
        <f>"29/02/2021"</f>
        <v>29/02/2021</v>
      </c>
      <c r="M1012" t="str">
        <f>""</f>
        <v/>
      </c>
      <c r="N1012" t="str">
        <f>"Mardegan F.lli s.n.c. Via Argine Destro 13A 35020 Brenta di Correzzola PD"</f>
        <v>Mardegan F.lli s.n.c. Via Argine Destro 13A 35020 Brenta di Correzzola PD</v>
      </c>
      <c r="O1012" t="str">
        <f>"Mardegan F.lli s.n.c. Via Argine Destro 13A 35020 Brenta di Correzzola PD"</f>
        <v>Mardegan F.lli s.n.c. Via Argine Destro 13A 35020 Brenta di Correzzola PD</v>
      </c>
      <c r="P1012" t="str">
        <f>"ZF51890034: [3314.79€ ]"</f>
        <v>ZF51890034: [3314.79€ ]</v>
      </c>
      <c r="Q1012" t="str">
        <f>""</f>
        <v/>
      </c>
      <c r="R1012" t="str">
        <f>""</f>
        <v/>
      </c>
      <c r="S1012" t="str">
        <f>""</f>
        <v/>
      </c>
      <c r="T1012" t="str">
        <f>"https://portaletrasparenza.consorziobacchiglione.it/dettagli/attodigara/166/manutenzione-e-riparazione-mezzi-con-targa-cb934xy-ew924ed-aj206bm.html"</f>
        <v>https://portaletrasparenza.consorziobacchiglione.it/dettagli/attodigara/166/manutenzione-e-riparazione-mezzi-con-targa-cb934xy-ew924ed-aj206bm.html</v>
      </c>
      <c r="U1012" t="str">
        <f>""</f>
        <v/>
      </c>
      <c r="V1012">
        <f>(SUBSTITUTE(Tabella1[[#This Row],[Importo di aggiudicazione]],".",","))-(SUBSTITUTE(  SUBSTITUTE(          SUBSTITUTE(Tabella1[[#This Row],[Dettaglio somme liquidate]],Tabella1[[#This Row],[CIG]]&amp;": [",""),"€ ]",""),".",","))</f>
        <v>1.0000000000218279E-2</v>
      </c>
    </row>
    <row r="1013" spans="1:22" x14ac:dyDescent="0.3">
      <c r="A1013" t="str">
        <f>"Affidamento"</f>
        <v>Affidamento</v>
      </c>
      <c r="B1013" t="str">
        <f>"Noleggio miniescavatore per lavori scolo Menona."</f>
        <v>Noleggio miniescavatore per lavori scolo Menona.</v>
      </c>
      <c r="C1013" t="str">
        <f>"Z71190C064"</f>
        <v>Z71190C064</v>
      </c>
      <c r="D1013" t="str">
        <f>"04/11/2021"</f>
        <v>04/11/2021</v>
      </c>
      <c r="E1013" t="str">
        <f>""</f>
        <v/>
      </c>
      <c r="F1013" t="str">
        <f>""</f>
        <v/>
      </c>
      <c r="G1013" t="str">
        <f>"1800.00"</f>
        <v>1800.00</v>
      </c>
      <c r="H1013" t="str">
        <f>"Consorzio di bonifica Bacchiglione"</f>
        <v>Consorzio di bonifica Bacchiglione</v>
      </c>
      <c r="I1013" t="str">
        <f>"92223390284"</f>
        <v>92223390284</v>
      </c>
      <c r="J1013" t="str">
        <f>"23-AFFIDAMENTO DIRETTO"</f>
        <v>23-AFFIDAMENTO DIRETTO</v>
      </c>
      <c r="K1013" t="str">
        <f>"17/03/2021"</f>
        <v>17/03/2021</v>
      </c>
      <c r="L1013" t="str">
        <f>"18/05/2021"</f>
        <v>18/05/2021</v>
      </c>
      <c r="M1013" t="str">
        <f>""</f>
        <v/>
      </c>
      <c r="N1013" t="str">
        <f>"Sorme Noleggi s.a.s. Via Monache 21 35030 Selvazzano Dentro PD"</f>
        <v>Sorme Noleggi s.a.s. Via Monache 21 35030 Selvazzano Dentro PD</v>
      </c>
      <c r="O1013" t="str">
        <f>"Sorme Noleggi s.a.s. Via Monache 21 35030 Selvazzano Dentro PD"</f>
        <v>Sorme Noleggi s.a.s. Via Monache 21 35030 Selvazzano Dentro PD</v>
      </c>
      <c r="P1013" t="str">
        <f>"Z71190C064: [1800.00€ ]"</f>
        <v>Z71190C064: [1800.00€ ]</v>
      </c>
      <c r="Q1013" t="str">
        <f>""</f>
        <v/>
      </c>
      <c r="R1013" t="str">
        <f>""</f>
        <v/>
      </c>
      <c r="S1013" t="str">
        <f>""</f>
        <v/>
      </c>
      <c r="T1013" t="str">
        <f>"https://portaletrasparenza.consorziobacchiglione.it/dettagli/attodigara/242/noleggio-miniescavatore-per-lavori-scolo-menona.html"</f>
        <v>https://portaletrasparenza.consorziobacchiglione.it/dettagli/attodigara/242/noleggio-miniescavatore-per-lavori-scolo-menona.html</v>
      </c>
      <c r="U1013" t="str">
        <f>""</f>
        <v/>
      </c>
      <c r="V10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14" spans="1:22" x14ac:dyDescent="0.3">
      <c r="A1014" t="str">
        <f>"Affidamento"</f>
        <v>Affidamento</v>
      </c>
      <c r="B1014" t="str">
        <f>"Fornitura materiale edile per Idrovora Baldon."</f>
        <v>Fornitura materiale edile per Idrovora Baldon.</v>
      </c>
      <c r="C1014" t="str">
        <f>"Z7F190BF43"</f>
        <v>Z7F190BF43</v>
      </c>
      <c r="D1014" t="str">
        <f>"04/11/2021"</f>
        <v>04/11/2021</v>
      </c>
      <c r="E1014" t="str">
        <f>""</f>
        <v/>
      </c>
      <c r="F1014" t="str">
        <f>""</f>
        <v/>
      </c>
      <c r="G1014" t="str">
        <f>"449.76"</f>
        <v>449.76</v>
      </c>
      <c r="H1014" t="str">
        <f>"Consorzio di bonifica Bacchiglione"</f>
        <v>Consorzio di bonifica Bacchiglione</v>
      </c>
      <c r="I1014" t="str">
        <f>"92223390284"</f>
        <v>92223390284</v>
      </c>
      <c r="J1014" t="str">
        <f>"23-AFFIDAMENTO DIRETTO"</f>
        <v>23-AFFIDAMENTO DIRETTO</v>
      </c>
      <c r="K1014" t="str">
        <f>"17/03/2021"</f>
        <v>17/03/2021</v>
      </c>
      <c r="L1014" t="str">
        <f>"03/05/2021"</f>
        <v>03/05/2021</v>
      </c>
      <c r="M1014" t="str">
        <f>""</f>
        <v/>
      </c>
      <c r="N1014" t="str">
        <f>"Materiali Edili Fratelli Donà s.a.s. Via Fossalta 2 35025 Cartura PD"</f>
        <v>Materiali Edili Fratelli Donà s.a.s. Via Fossalta 2 35025 Cartura PD</v>
      </c>
      <c r="O1014" t="str">
        <f>"Materiali Edili Fratelli Donà s.a.s. Via Fossalta 2 35025 Cartura PD"</f>
        <v>Materiali Edili Fratelli Donà s.a.s. Via Fossalta 2 35025 Cartura PD</v>
      </c>
      <c r="P1014" t="str">
        <f>"Z7F190BF43: [449.76€ ]"</f>
        <v>Z7F190BF43: [449.76€ ]</v>
      </c>
      <c r="Q1014" t="str">
        <f>""</f>
        <v/>
      </c>
      <c r="R1014" t="str">
        <f>""</f>
        <v/>
      </c>
      <c r="S1014" t="str">
        <f>""</f>
        <v/>
      </c>
      <c r="T1014" t="str">
        <f>"https://portaletrasparenza.consorziobacchiglione.it/dettagli/attodigara/241/fornitura-materiale-edile-per-idrovora-baldon.html"</f>
        <v>https://portaletrasparenza.consorziobacchiglione.it/dettagli/attodigara/241/fornitura-materiale-edile-per-idrovora-baldon.html</v>
      </c>
      <c r="U1014" t="str">
        <f>""</f>
        <v/>
      </c>
      <c r="V101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15" spans="1:22" x14ac:dyDescent="0.3">
      <c r="A1015" t="str">
        <f>"Affidamento"</f>
        <v>Affidamento</v>
      </c>
      <c r="B1015" t="str">
        <f>"Documentazione tecnica secondo le direttive della Soprintenza ai Beni Ambientali relativa ai lavori del Progetto Acque Irrigue - Processo ID 005-08."</f>
        <v>Documentazione tecnica secondo le direttive della Soprintenza ai Beni Ambientali relativa ai lavori del Progetto Acque Irrigue - Processo ID 005-08.</v>
      </c>
      <c r="C1015" t="str">
        <f>"Z8B190C089"</f>
        <v>Z8B190C089</v>
      </c>
      <c r="D1015" t="str">
        <f>"04/11/2021"</f>
        <v>04/11/2021</v>
      </c>
      <c r="E1015" t="str">
        <f>""</f>
        <v/>
      </c>
      <c r="F1015" t="str">
        <f>""</f>
        <v/>
      </c>
      <c r="G1015" t="str">
        <f>"9450.00"</f>
        <v>9450.00</v>
      </c>
      <c r="H1015" t="str">
        <f>"Consorzio di bonifica Bacchiglione"</f>
        <v>Consorzio di bonifica Bacchiglione</v>
      </c>
      <c r="I1015" t="str">
        <f>"92223390284"</f>
        <v>92223390284</v>
      </c>
      <c r="J1015" t="str">
        <f>"23-AFFIDAMENTO DIRETTO"</f>
        <v>23-AFFIDAMENTO DIRETTO</v>
      </c>
      <c r="K1015" t="str">
        <f>"17/03/2021"</f>
        <v>17/03/2021</v>
      </c>
      <c r="L1015" t="str">
        <f>"21/06/2021"</f>
        <v>21/06/2021</v>
      </c>
      <c r="M1015" t="str">
        <f>""</f>
        <v/>
      </c>
      <c r="N1015" t="str">
        <f>"Cooperativa Archeosub Metamauco a R.L."</f>
        <v>Cooperativa Archeosub Metamauco a R.L.</v>
      </c>
      <c r="O1015" t="str">
        <f>"Cooperativa Archeosub Metamauco a R.L."</f>
        <v>Cooperativa Archeosub Metamauco a R.L.</v>
      </c>
      <c r="P1015" t="str">
        <f>"Z8B190C089: [9450.00€ ]"</f>
        <v>Z8B190C089: [9450.00€ ]</v>
      </c>
      <c r="Q1015" t="str">
        <f>""</f>
        <v/>
      </c>
      <c r="R1015" t="str">
        <f>""</f>
        <v/>
      </c>
      <c r="S1015" t="str">
        <f>""</f>
        <v/>
      </c>
      <c r="T1015" t="str">
        <f>"https://portaletrasparenza.consorziobacchiglione.it/dettagli/attodigara/239/documentazione-tecnica-secondo-le-direttive-della-soprintenza-ai-beni-ambientali-relativa-ai-lavori-del-progetto-acque-irrigue-processo-id-005-08.html"</f>
        <v>https://portaletrasparenza.consorziobacchiglione.it/dettagli/attodigara/239/documentazione-tecnica-secondo-le-direttive-della-soprintenza-ai-beni-ambientali-relativa-ai-lavori-del-progetto-acque-irrigue-processo-id-005-08.html</v>
      </c>
      <c r="U1015" t="str">
        <f>""</f>
        <v/>
      </c>
      <c r="V101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16" spans="1:22" x14ac:dyDescent="0.3">
      <c r="A1016" t="str">
        <f>"Affidamento"</f>
        <v>Affidamento</v>
      </c>
      <c r="B1016" t="str">
        <f>"Sostituzione centralina periferica dati del mezzo targato: AJP870"</f>
        <v>Sostituzione centralina periferica dati del mezzo targato: AJP870</v>
      </c>
      <c r="C1016" t="str">
        <f>"Z74310A195"</f>
        <v>Z74310A195</v>
      </c>
      <c r="D1016" t="str">
        <f>"17/03/2021"</f>
        <v>17/03/2021</v>
      </c>
      <c r="E1016" t="str">
        <f>""</f>
        <v/>
      </c>
      <c r="F1016" t="str">
        <f>""</f>
        <v/>
      </c>
      <c r="G1016" t="str">
        <f>"460.00"</f>
        <v>460.00</v>
      </c>
      <c r="H1016" t="str">
        <f>"Consorzio di bonifica Bacchiglione"</f>
        <v>Consorzio di bonifica Bacchiglione</v>
      </c>
      <c r="I1016" t="str">
        <f>"92223390284"</f>
        <v>92223390284</v>
      </c>
      <c r="J1016" t="str">
        <f>"23-AFFIDAMENTO DIRETTO"</f>
        <v>23-AFFIDAMENTO DIRETTO</v>
      </c>
      <c r="K1016" t="str">
        <f>"17/03/2021"</f>
        <v>17/03/2021</v>
      </c>
      <c r="L1016" t="str">
        <f>"10/03/2022"</f>
        <v>10/03/2022</v>
      </c>
      <c r="M1016" t="str">
        <f>""</f>
        <v/>
      </c>
      <c r="N1016" t="str">
        <f>"Vise Elettrocar Via Montagnon 61 35028 Tognana di Piove di Sacco PD"</f>
        <v>Vise Elettrocar Via Montagnon 61 35028 Tognana di Piove di Sacco PD</v>
      </c>
      <c r="O1016" t="str">
        <f>"Vise Elettrocar Via Montagnon 61 35028 Tognana di Piove di Sacco PD"</f>
        <v>Vise Elettrocar Via Montagnon 61 35028 Tognana di Piove di Sacco PD</v>
      </c>
      <c r="P1016" t="str">
        <f>"Z74310A195: [460.00€ ]"</f>
        <v>Z74310A195: [460.00€ ]</v>
      </c>
      <c r="Q1016" t="str">
        <f>""</f>
        <v/>
      </c>
      <c r="R1016" t="str">
        <f>""</f>
        <v/>
      </c>
      <c r="S1016" t="str">
        <f>""</f>
        <v/>
      </c>
      <c r="T1016" t="str">
        <f>"https://portaletrasparenza.consorziobacchiglione.it/dettagli/attodigara/6708/sostituzione-centralina-periferica-dati-del-mezzo-targato-ajp870.html"</f>
        <v>https://portaletrasparenza.consorziobacchiglione.it/dettagli/attodigara/6708/sostituzione-centralina-periferica-dati-del-mezzo-targato-ajp870.html</v>
      </c>
      <c r="U1016" t="str">
        <f>"https://portaletrasparenza.consorziobacchiglione.it/download/attodigara/6708/63ac456cd2b4b.PDF"</f>
        <v>https://portaletrasparenza.consorziobacchiglione.it/download/attodigara/6708/63ac456cd2b4b.PDF</v>
      </c>
      <c r="V101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17" spans="1:22" x14ac:dyDescent="0.3">
      <c r="A1017" t="str">
        <f>"Affidamento"</f>
        <v>Affidamento</v>
      </c>
      <c r="B1017" t="str">
        <f>"Riparazione pneumatico del mezzo targato: FF936PM"</f>
        <v>Riparazione pneumatico del mezzo targato: FF936PM</v>
      </c>
      <c r="C1017" t="str">
        <f>"Z66310A3B1"</f>
        <v>Z66310A3B1</v>
      </c>
      <c r="D1017" t="str">
        <f>"17/03/2021"</f>
        <v>17/03/2021</v>
      </c>
      <c r="E1017" t="str">
        <f>""</f>
        <v/>
      </c>
      <c r="F1017" t="str">
        <f>""</f>
        <v/>
      </c>
      <c r="G1017" t="str">
        <f>"25.00"</f>
        <v>25.00</v>
      </c>
      <c r="H1017" t="str">
        <f>"Consorzio di bonifica Bacchiglione"</f>
        <v>Consorzio di bonifica Bacchiglione</v>
      </c>
      <c r="I1017" t="str">
        <f>"92223390284"</f>
        <v>92223390284</v>
      </c>
      <c r="J1017" t="str">
        <f>"23-AFFIDAMENTO DIRETTO"</f>
        <v>23-AFFIDAMENTO DIRETTO</v>
      </c>
      <c r="K1017" t="str">
        <f>"17/03/2021"</f>
        <v>17/03/2021</v>
      </c>
      <c r="L1017" t="str">
        <f>"31/12/2021"</f>
        <v>31/12/2021</v>
      </c>
      <c r="M1017" t="str">
        <f>""</f>
        <v/>
      </c>
      <c r="N1017" t="str">
        <f>"Giacobazzi Gomme Corso Terme 27 35036 Montegrotto Terme PD"</f>
        <v>Giacobazzi Gomme Corso Terme 27 35036 Montegrotto Terme PD</v>
      </c>
      <c r="O1017" t="str">
        <f>"Giacobazzi Gomme Corso Terme 27 35036 Montegrotto Terme PD"</f>
        <v>Giacobazzi Gomme Corso Terme 27 35036 Montegrotto Terme PD</v>
      </c>
      <c r="P1017" t="str">
        <f>"Z66310A3B1: [0.00€ ]"</f>
        <v>Z66310A3B1: [0.00€ ]</v>
      </c>
      <c r="Q1017" t="str">
        <f>""</f>
        <v/>
      </c>
      <c r="R1017" t="str">
        <f>""</f>
        <v/>
      </c>
      <c r="S1017" t="str">
        <f>""</f>
        <v/>
      </c>
      <c r="T1017" t="str">
        <f>"https://portaletrasparenza.consorziobacchiglione.it/dettagli/attodigara/6709/riparazione-pneumatico-del-mezzo-targato-ff936pm.html"</f>
        <v>https://portaletrasparenza.consorziobacchiglione.it/dettagli/attodigara/6709/riparazione-pneumatico-del-mezzo-targato-ff936pm.html</v>
      </c>
      <c r="U1017" t="str">
        <f>"https://portaletrasparenza.consorziobacchiglione.it/download/attodigara/6709/62a209a5b8a3a.PDF"</f>
        <v>https://portaletrasparenza.consorziobacchiglione.it/download/attodigara/6709/62a209a5b8a3a.PDF</v>
      </c>
      <c r="V1017">
        <f>(SUBSTITUTE(Tabella1[[#This Row],[Importo di aggiudicazione]],".",","))-(SUBSTITUTE(  SUBSTITUTE(          SUBSTITUTE(Tabella1[[#This Row],[Dettaglio somme liquidate]],Tabella1[[#This Row],[CIG]]&amp;": [",""),"€ ]",""),".",","))</f>
        <v>25</v>
      </c>
    </row>
    <row r="1018" spans="1:22" x14ac:dyDescent="0.3">
      <c r="A1018" t="str">
        <f>"Affidamento"</f>
        <v>Affidamento</v>
      </c>
      <c r="B1018" t="str">
        <f>"Fornitura di n. 30 piante di Lauroceraso per sistemazione area di cantiere occupata durante i lavori di rivestimento delle sponde su scolo Degora in comune di Teolo"</f>
        <v>Fornitura di n. 30 piante di Lauroceraso per sistemazione area di cantiere occupata durante i lavori di rivestimento delle sponde su scolo Degora in comune di Teolo</v>
      </c>
      <c r="C1018" t="str">
        <f>"ZD9310AC23"</f>
        <v>ZD9310AC23</v>
      </c>
      <c r="D1018" t="str">
        <f>"17/03/2021"</f>
        <v>17/03/2021</v>
      </c>
      <c r="E1018" t="str">
        <f>""</f>
        <v/>
      </c>
      <c r="F1018" t="str">
        <f>""</f>
        <v/>
      </c>
      <c r="G1018" t="str">
        <f>"165.00"</f>
        <v>165.00</v>
      </c>
      <c r="H1018" t="str">
        <f>"Consorzio di bonifica Bacchiglione"</f>
        <v>Consorzio di bonifica Bacchiglione</v>
      </c>
      <c r="I1018" t="str">
        <f>"92223390284"</f>
        <v>92223390284</v>
      </c>
      <c r="J1018" t="str">
        <f>"23-AFFIDAMENTO DIRETTO"</f>
        <v>23-AFFIDAMENTO DIRETTO</v>
      </c>
      <c r="K1018" t="str">
        <f>"17/03/2021"</f>
        <v>17/03/2021</v>
      </c>
      <c r="L1018" t="str">
        <f>"31/12/2021"</f>
        <v>31/12/2021</v>
      </c>
      <c r="M1018" t="str">
        <f>""</f>
        <v/>
      </c>
      <c r="N1018" t="str">
        <f>"Zanella Andrea Via quattrocà 9 35010 Vigonza PD"</f>
        <v>Zanella Andrea Via quattrocà 9 35010 Vigonza PD</v>
      </c>
      <c r="O1018" t="str">
        <f>"Zanella Andrea Via quattrocà 9 35010 Vigonza PD"</f>
        <v>Zanella Andrea Via quattrocà 9 35010 Vigonza PD</v>
      </c>
      <c r="P1018" t="str">
        <f>"ZD9310AC23: [0.00€ ]"</f>
        <v>ZD9310AC23: [0.00€ ]</v>
      </c>
      <c r="Q1018" t="str">
        <f>""</f>
        <v/>
      </c>
      <c r="R1018" t="str">
        <f>""</f>
        <v/>
      </c>
      <c r="S1018" t="str">
        <f>""</f>
        <v/>
      </c>
      <c r="T1018" t="str">
        <f>"https://portaletrasparenza.consorziobacchiglione.it/dettagli/attodigara/6710/fornitura-di-n-30-piante-di-lauroceraso-per-sistemazione-area-di-cantiere-occupata-durante-i-lavori-di-rivestimento-delle-sponde-su-scolo-degora-in-comune-di-teolo.html"</f>
        <v>https://portaletrasparenza.consorziobacchiglione.it/dettagli/attodigara/6710/fornitura-di-n-30-piante-di-lauroceraso-per-sistemazione-area-di-cantiere-occupata-durante-i-lavori-di-rivestimento-delle-sponde-su-scolo-degora-in-comune-di-teolo.html</v>
      </c>
      <c r="U1018" t="str">
        <f>"https://portaletrasparenza.consorziobacchiglione.it/download/attodigara/6710/62a209a634579.PDF"</f>
        <v>https://portaletrasparenza.consorziobacchiglione.it/download/attodigara/6710/62a209a634579.PDF</v>
      </c>
      <c r="V1018">
        <f>(SUBSTITUTE(Tabella1[[#This Row],[Importo di aggiudicazione]],".",","))-(SUBSTITUTE(  SUBSTITUTE(          SUBSTITUTE(Tabella1[[#This Row],[Dettaglio somme liquidate]],Tabella1[[#This Row],[CIG]]&amp;": [",""),"€ ]",""),".",","))</f>
        <v>165</v>
      </c>
    </row>
    <row r="1019" spans="1:22" x14ac:dyDescent="0.3">
      <c r="A1019" t="str">
        <f>"Affidamento"</f>
        <v>Affidamento</v>
      </c>
      <c r="B1019" t="str">
        <f>"Manutenzione e riparazione mezzi con targa: AJ206BM, PDAF480, DN881SC, PDAH662."</f>
        <v>Manutenzione e riparazione mezzi con targa: AJ206BM, PDAF480, DN881SC, PDAH662.</v>
      </c>
      <c r="C1019" t="str">
        <f>"ZAB19E95CA"</f>
        <v>ZAB19E95CA</v>
      </c>
      <c r="D1019" t="str">
        <f>"04/11/2021"</f>
        <v>04/11/2021</v>
      </c>
      <c r="E1019" t="str">
        <f>""</f>
        <v/>
      </c>
      <c r="F1019" t="str">
        <f>""</f>
        <v/>
      </c>
      <c r="G1019" t="str">
        <f>"7242.95"</f>
        <v>7242.95</v>
      </c>
      <c r="H1019" t="str">
        <f>"Consorzio di bonifica Bacchiglione"</f>
        <v>Consorzio di bonifica Bacchiglione</v>
      </c>
      <c r="I1019" t="str">
        <f>"92223390284"</f>
        <v>92223390284</v>
      </c>
      <c r="J1019" t="str">
        <f>"23-AFFIDAMENTO DIRETTO"</f>
        <v>23-AFFIDAMENTO DIRETTO</v>
      </c>
      <c r="K1019" t="str">
        <f>"17/05/2021"</f>
        <v>17/05/2021</v>
      </c>
      <c r="L1019" t="str">
        <f>"29/07/2021"</f>
        <v>29/07/2021</v>
      </c>
      <c r="M1019" t="str">
        <f>""</f>
        <v/>
      </c>
      <c r="N1019" t="str">
        <f>"Officina Biesse S.n.c. Via Matteotti 24 35020 Arzergrande PD"</f>
        <v>Officina Biesse S.n.c. Via Matteotti 24 35020 Arzergrande PD</v>
      </c>
      <c r="O1019" t="str">
        <f>"Officina Biesse S.n.c. Via Matteotti 24 35020 Arzergrande PD"</f>
        <v>Officina Biesse S.n.c. Via Matteotti 24 35020 Arzergrande PD</v>
      </c>
      <c r="P1019" t="str">
        <f>"ZAB19E95CA: [7242.95€ ]"</f>
        <v>ZAB19E95CA: [7242.95€ ]</v>
      </c>
      <c r="Q1019" t="str">
        <f>""</f>
        <v/>
      </c>
      <c r="R1019" t="str">
        <f>""</f>
        <v/>
      </c>
      <c r="S1019" t="str">
        <f>""</f>
        <v/>
      </c>
      <c r="T1019" t="str">
        <f>"https://portaletrasparenza.consorziobacchiglione.it/dettagli/attodigara/438/manutenzione-e-riparazione-mezzi-con-targa-aj206bm-pdaf480-dn881sc-pdah662.html"</f>
        <v>https://portaletrasparenza.consorziobacchiglione.it/dettagli/attodigara/438/manutenzione-e-riparazione-mezzi-con-targa-aj206bm-pdaf480-dn881sc-pdah662.html</v>
      </c>
      <c r="U1019" t="str">
        <f>""</f>
        <v/>
      </c>
      <c r="V101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20" spans="1:22" x14ac:dyDescent="0.3">
      <c r="A1020" t="str">
        <f>"Affidamento"</f>
        <v>Affidamento</v>
      </c>
      <c r="B1020" t="str">
        <f>"Manutenzione e riparazione mezzi con targa: PDAF496, PDAH661."</f>
        <v>Manutenzione e riparazione mezzi con targa: PDAF496, PDAH661.</v>
      </c>
      <c r="C1020" t="str">
        <f>"Z5519E9529"</f>
        <v>Z5519E9529</v>
      </c>
      <c r="D1020" t="str">
        <f>"04/11/2021"</f>
        <v>04/11/2021</v>
      </c>
      <c r="E1020" t="str">
        <f>""</f>
        <v/>
      </c>
      <c r="F1020" t="str">
        <f>""</f>
        <v/>
      </c>
      <c r="G1020" t="str">
        <f>"3309.80"</f>
        <v>3309.80</v>
      </c>
      <c r="H1020" t="str">
        <f>"Consorzio di bonifica Bacchiglione"</f>
        <v>Consorzio di bonifica Bacchiglione</v>
      </c>
      <c r="I1020" t="str">
        <f>"92223390284"</f>
        <v>92223390284</v>
      </c>
      <c r="J1020" t="str">
        <f>"23-AFFIDAMENTO DIRETTO"</f>
        <v>23-AFFIDAMENTO DIRETTO</v>
      </c>
      <c r="K1020" t="str">
        <f>"17/05/2021"</f>
        <v>17/05/2021</v>
      </c>
      <c r="L1020" t="str">
        <f>"29/07/2021"</f>
        <v>29/07/2021</v>
      </c>
      <c r="M1020" t="str">
        <f>""</f>
        <v/>
      </c>
      <c r="N1020" t="str">
        <f>"Officina Biesse S.n.c. Via Matteotti 24 35020 Arzergrande PD"</f>
        <v>Officina Biesse S.n.c. Via Matteotti 24 35020 Arzergrande PD</v>
      </c>
      <c r="O1020" t="str">
        <f>"Officina Biesse S.n.c. Via Matteotti 24 35020 Arzergrande PD"</f>
        <v>Officina Biesse S.n.c. Via Matteotti 24 35020 Arzergrande PD</v>
      </c>
      <c r="P1020" t="str">
        <f>"Z5519E9529: [3309.80€ ]"</f>
        <v>Z5519E9529: [3309.80€ ]</v>
      </c>
      <c r="Q1020" t="str">
        <f>""</f>
        <v/>
      </c>
      <c r="R1020" t="str">
        <f>""</f>
        <v/>
      </c>
      <c r="S1020" t="str">
        <f>""</f>
        <v/>
      </c>
      <c r="T1020" t="str">
        <f>"https://portaletrasparenza.consorziobacchiglione.it/dettagli/attodigara/437/manutenzione-e-riparazione-mezzi-con-targa-pdaf496-pdah661.html"</f>
        <v>https://portaletrasparenza.consorziobacchiglione.it/dettagli/attodigara/437/manutenzione-e-riparazione-mezzi-con-targa-pdaf496-pdah661.html</v>
      </c>
      <c r="U1020" t="str">
        <f>""</f>
        <v/>
      </c>
      <c r="V102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21" spans="1:22" x14ac:dyDescent="0.3">
      <c r="A1021" t="str">
        <f>"Affidamento"</f>
        <v>Affidamento</v>
      </c>
      <c r="B1021" t="str">
        <f>"Riparazione e manutenzione sgrigliatore e nastro trasportatore dell'Idrovora di Lova."</f>
        <v>Riparazione e manutenzione sgrigliatore e nastro trasportatore dell'Idrovora di Lova.</v>
      </c>
      <c r="C1021" t="str">
        <f>"Z6419E944D"</f>
        <v>Z6419E944D</v>
      </c>
      <c r="D1021" t="str">
        <f>"04/11/2021"</f>
        <v>04/11/2021</v>
      </c>
      <c r="E1021" t="str">
        <f>""</f>
        <v/>
      </c>
      <c r="F1021" t="str">
        <f>""</f>
        <v/>
      </c>
      <c r="G1021" t="str">
        <f>"1812.00"</f>
        <v>1812.00</v>
      </c>
      <c r="H1021" t="str">
        <f>"Consorzio di bonifica Bacchiglione"</f>
        <v>Consorzio di bonifica Bacchiglione</v>
      </c>
      <c r="I1021" t="str">
        <f>"92223390284"</f>
        <v>92223390284</v>
      </c>
      <c r="J1021" t="str">
        <f>"23-AFFIDAMENTO DIRETTO"</f>
        <v>23-AFFIDAMENTO DIRETTO</v>
      </c>
      <c r="K1021" t="str">
        <f>"17/05/2021"</f>
        <v>17/05/2021</v>
      </c>
      <c r="L1021" t="str">
        <f>"29/07/2021"</f>
        <v>29/07/2021</v>
      </c>
      <c r="M1021" t="str">
        <f>""</f>
        <v/>
      </c>
      <c r="N1021" t="str">
        <f>"Officina Biesse S.n.c. Via Matteotti 24 35020 Arzergrande PD"</f>
        <v>Officina Biesse S.n.c. Via Matteotti 24 35020 Arzergrande PD</v>
      </c>
      <c r="O1021" t="str">
        <f>"Officina Biesse S.n.c. Via Matteotti 24 35020 Arzergrande PD"</f>
        <v>Officina Biesse S.n.c. Via Matteotti 24 35020 Arzergrande PD</v>
      </c>
      <c r="P1021" t="str">
        <f>"Z6419E944D: [1812.00€ ]"</f>
        <v>Z6419E944D: [1812.00€ ]</v>
      </c>
      <c r="Q1021" t="str">
        <f>""</f>
        <v/>
      </c>
      <c r="R1021" t="str">
        <f>""</f>
        <v/>
      </c>
      <c r="S1021" t="str">
        <f>""</f>
        <v/>
      </c>
      <c r="T1021" t="str">
        <f>"https://portaletrasparenza.consorziobacchiglione.it/dettagli/attodigara/436/riparazione-e-manutenzione-sgrigliatore-e-nastro-trasportatore-dell-idrovora-di-lova.html"</f>
        <v>https://portaletrasparenza.consorziobacchiglione.it/dettagli/attodigara/436/riparazione-e-manutenzione-sgrigliatore-e-nastro-trasportatore-dell-idrovora-di-lova.html</v>
      </c>
      <c r="U1021" t="str">
        <f>""</f>
        <v/>
      </c>
      <c r="V10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22" spans="1:22" x14ac:dyDescent="0.3">
      <c r="A1022" t="str">
        <f>"Affidamento"</f>
        <v>Affidamento</v>
      </c>
      <c r="B1022" t="str">
        <f>"Controllo annuale gru con rilascio scheda su mezzo con targa: CT189YR."</f>
        <v>Controllo annuale gru con rilascio scheda su mezzo con targa: CT189YR.</v>
      </c>
      <c r="C1022" t="str">
        <f>"Z8E19E93DB"</f>
        <v>Z8E19E93DB</v>
      </c>
      <c r="D1022" t="str">
        <f>"04/11/2021"</f>
        <v>04/11/2021</v>
      </c>
      <c r="E1022" t="str">
        <f>""</f>
        <v/>
      </c>
      <c r="F1022" t="str">
        <f>""</f>
        <v/>
      </c>
      <c r="G1022" t="str">
        <f>"495.00"</f>
        <v>495.00</v>
      </c>
      <c r="H1022" t="str">
        <f>"Consorzio di bonifica Bacchiglione"</f>
        <v>Consorzio di bonifica Bacchiglione</v>
      </c>
      <c r="I1022" t="str">
        <f>"92223390284"</f>
        <v>92223390284</v>
      </c>
      <c r="J1022" t="str">
        <f>"23-AFFIDAMENTO DIRETTO"</f>
        <v>23-AFFIDAMENTO DIRETTO</v>
      </c>
      <c r="K1022" t="str">
        <f>"17/05/2021"</f>
        <v>17/05/2021</v>
      </c>
      <c r="L1022" t="str">
        <f>"11/07/2021"</f>
        <v>11/07/2021</v>
      </c>
      <c r="M1022" t="str">
        <f>""</f>
        <v/>
      </c>
      <c r="N1022" t="str">
        <f>"Moressa s.r.l. Via Cuccara 2 35020 Due Carrare PD"</f>
        <v>Moressa s.r.l. Via Cuccara 2 35020 Due Carrare PD</v>
      </c>
      <c r="O1022" t="str">
        <f>"Moressa s.r.l. Via Cuccara 2 35020 Due Carrare PD"</f>
        <v>Moressa s.r.l. Via Cuccara 2 35020 Due Carrare PD</v>
      </c>
      <c r="P1022" t="str">
        <f>"Z8E19E93DB: [495.00€ ]"</f>
        <v>Z8E19E93DB: [495.00€ ]</v>
      </c>
      <c r="Q1022" t="str">
        <f>""</f>
        <v/>
      </c>
      <c r="R1022" t="str">
        <f>""</f>
        <v/>
      </c>
      <c r="S1022" t="str">
        <f>""</f>
        <v/>
      </c>
      <c r="T1022" t="str">
        <f>"https://portaletrasparenza.consorziobacchiglione.it/dettagli/attodigara/435/controllo-annuale-gru-con-rilascio-scheda-su-mezzo-con-targa-ct189yr.html"</f>
        <v>https://portaletrasparenza.consorziobacchiglione.it/dettagli/attodigara/435/controllo-annuale-gru-con-rilascio-scheda-su-mezzo-con-targa-ct189yr.html</v>
      </c>
      <c r="U1022" t="str">
        <f>""</f>
        <v/>
      </c>
      <c r="V10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23" spans="1:22" x14ac:dyDescent="0.3">
      <c r="A1023" t="str">
        <f>"Affidamento"</f>
        <v>Affidamento</v>
      </c>
      <c r="B1023" t="str">
        <f>"Riparazione e manutenzione cingolato R 900."</f>
        <v>Riparazione e manutenzione cingolato R 900.</v>
      </c>
      <c r="C1023" t="str">
        <f>"ZF619E9374"</f>
        <v>ZF619E9374</v>
      </c>
      <c r="D1023" t="str">
        <f>"04/11/2021"</f>
        <v>04/11/2021</v>
      </c>
      <c r="E1023" t="str">
        <f>""</f>
        <v/>
      </c>
      <c r="F1023" t="str">
        <f>""</f>
        <v/>
      </c>
      <c r="G1023" t="str">
        <f>"10663.00"</f>
        <v>10663.00</v>
      </c>
      <c r="H1023" t="str">
        <f>"Consorzio di bonifica Bacchiglione"</f>
        <v>Consorzio di bonifica Bacchiglione</v>
      </c>
      <c r="I1023" t="str">
        <f>"92223390284"</f>
        <v>92223390284</v>
      </c>
      <c r="J1023" t="str">
        <f>"23-AFFIDAMENTO DIRETTO"</f>
        <v>23-AFFIDAMENTO DIRETTO</v>
      </c>
      <c r="K1023" t="str">
        <f>"17/05/2021"</f>
        <v>17/05/2021</v>
      </c>
      <c r="L1023" t="str">
        <f>"29/07/2021"</f>
        <v>29/07/2021</v>
      </c>
      <c r="M1023" t="str">
        <f>""</f>
        <v/>
      </c>
      <c r="N1023" t="str">
        <f>"Adriatica Commerciale Macchine s.r.l. Via dell'Artigianato 5 35020 Due Carrare PD"</f>
        <v>Adriatica Commerciale Macchine s.r.l. Via dell'Artigianato 5 35020 Due Carrare PD</v>
      </c>
      <c r="O1023" t="str">
        <f>"Adriatica Commerciale Macchine s.r.l. Via dell'Artigianato 5 35020 Due Carrare PD"</f>
        <v>Adriatica Commerciale Macchine s.r.l. Via dell'Artigianato 5 35020 Due Carrare PD</v>
      </c>
      <c r="P1023" t="str">
        <f>"ZF619E9374: [10663.00€ ]"</f>
        <v>ZF619E9374: [10663.00€ ]</v>
      </c>
      <c r="Q1023" t="str">
        <f>""</f>
        <v/>
      </c>
      <c r="R1023" t="str">
        <f>""</f>
        <v/>
      </c>
      <c r="S1023" t="str">
        <f>""</f>
        <v/>
      </c>
      <c r="T1023" t="str">
        <f>"https://portaletrasparenza.consorziobacchiglione.it/dettagli/attodigara/434/riparazione-e-manutenzione-cingolato-r-900.html"</f>
        <v>https://portaletrasparenza.consorziobacchiglione.it/dettagli/attodigara/434/riparazione-e-manutenzione-cingolato-r-900.html</v>
      </c>
      <c r="U1023" t="str">
        <f>""</f>
        <v/>
      </c>
      <c r="V10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24" spans="1:22" x14ac:dyDescent="0.3">
      <c r="A1024" t="str">
        <f>"Affidamento"</f>
        <v>Affidamento</v>
      </c>
      <c r="B1024" t="str">
        <f>"Riparazione decespugliatore e affilatura catene per motosega."</f>
        <v>Riparazione decespugliatore e affilatura catene per motosega.</v>
      </c>
      <c r="C1024" t="str">
        <f>"Z3219E9297"</f>
        <v>Z3219E9297</v>
      </c>
      <c r="D1024" t="str">
        <f>"04/11/2021"</f>
        <v>04/11/2021</v>
      </c>
      <c r="E1024" t="str">
        <f>""</f>
        <v/>
      </c>
      <c r="F1024" t="str">
        <f>""</f>
        <v/>
      </c>
      <c r="G1024" t="str">
        <f>"353.32"</f>
        <v>353.32</v>
      </c>
      <c r="H1024" t="str">
        <f>"Consorzio di bonifica Bacchiglione"</f>
        <v>Consorzio di bonifica Bacchiglione</v>
      </c>
      <c r="I1024" t="str">
        <f>"92223390284"</f>
        <v>92223390284</v>
      </c>
      <c r="J1024" t="str">
        <f>"23-AFFIDAMENTO DIRETTO"</f>
        <v>23-AFFIDAMENTO DIRETTO</v>
      </c>
      <c r="K1024" t="str">
        <f>"17/05/2021"</f>
        <v>17/05/2021</v>
      </c>
      <c r="L1024" t="str">
        <f>"30/06/2021"</f>
        <v>30/06/2021</v>
      </c>
      <c r="M1024" t="str">
        <f>""</f>
        <v/>
      </c>
      <c r="N1024" t="str">
        <f>"Frizzarin Riccardo Via Papa Giovanni XXXIII 20 35026 Conselve PD"</f>
        <v>Frizzarin Riccardo Via Papa Giovanni XXXIII 20 35026 Conselve PD</v>
      </c>
      <c r="O1024" t="str">
        <f>"Frizzarin Riccardo Via Papa Giovanni XXXIII 20 35026 Conselve PD"</f>
        <v>Frizzarin Riccardo Via Papa Giovanni XXXIII 20 35026 Conselve PD</v>
      </c>
      <c r="P1024" t="str">
        <f>"Z3219E9297: [353.32€ ]"</f>
        <v>Z3219E9297: [353.32€ ]</v>
      </c>
      <c r="Q1024" t="str">
        <f>""</f>
        <v/>
      </c>
      <c r="R1024" t="str">
        <f>""</f>
        <v/>
      </c>
      <c r="S1024" t="str">
        <f>""</f>
        <v/>
      </c>
      <c r="T1024" t="str">
        <f>"https://portaletrasparenza.consorziobacchiglione.it/dettagli/attodigara/433/riparazione-decespugliatore-e-affilatura-catene-per-motosega.html"</f>
        <v>https://portaletrasparenza.consorziobacchiglione.it/dettagli/attodigara/433/riparazione-decespugliatore-e-affilatura-catene-per-motosega.html</v>
      </c>
      <c r="U1024" t="str">
        <f>""</f>
        <v/>
      </c>
      <c r="V10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25" spans="1:22" x14ac:dyDescent="0.3">
      <c r="A1025" t="str">
        <f>"Affidamento"</f>
        <v>Affidamento</v>
      </c>
      <c r="B1025" t="str">
        <f>"Fornitura materiale di ricambio per decespugliatori C.O.S.Margherita."</f>
        <v>Fornitura materiale di ricambio per decespugliatori C.O.S.Margherita.</v>
      </c>
      <c r="C1025" t="str">
        <f>"Z6619E91E6"</f>
        <v>Z6619E91E6</v>
      </c>
      <c r="D1025" t="str">
        <f>"04/11/2021"</f>
        <v>04/11/2021</v>
      </c>
      <c r="E1025" t="str">
        <f>""</f>
        <v/>
      </c>
      <c r="F1025" t="str">
        <f>""</f>
        <v/>
      </c>
      <c r="G1025" t="str">
        <f>"168.03"</f>
        <v>168.03</v>
      </c>
      <c r="H1025" t="str">
        <f>"Consorzio di bonifica Bacchiglione"</f>
        <v>Consorzio di bonifica Bacchiglione</v>
      </c>
      <c r="I1025" t="str">
        <f>"92223390284"</f>
        <v>92223390284</v>
      </c>
      <c r="J1025" t="str">
        <f>"23-AFFIDAMENTO DIRETTO"</f>
        <v>23-AFFIDAMENTO DIRETTO</v>
      </c>
      <c r="K1025" t="str">
        <f>"17/05/2021"</f>
        <v>17/05/2021</v>
      </c>
      <c r="L1025" t="str">
        <f>"30/06/2021"</f>
        <v>30/06/2021</v>
      </c>
      <c r="M1025" t="str">
        <f>""</f>
        <v/>
      </c>
      <c r="N1025" t="str">
        <f>"Frizzarin Riccardo Via Papa Giovanni XXXIII 20 35026 Conselve PD"</f>
        <v>Frizzarin Riccardo Via Papa Giovanni XXXIII 20 35026 Conselve PD</v>
      </c>
      <c r="O1025" t="str">
        <f>"Frizzarin Riccardo Via Papa Giovanni XXXIII 20 35026 Conselve PD"</f>
        <v>Frizzarin Riccardo Via Papa Giovanni XXXIII 20 35026 Conselve PD</v>
      </c>
      <c r="P1025" t="str">
        <f>"Z6619E91E6: [168.03€ ]"</f>
        <v>Z6619E91E6: [168.03€ ]</v>
      </c>
      <c r="Q1025" t="str">
        <f>""</f>
        <v/>
      </c>
      <c r="R1025" t="str">
        <f>""</f>
        <v/>
      </c>
      <c r="S1025" t="str">
        <f>""</f>
        <v/>
      </c>
      <c r="T1025" t="str">
        <f>"https://portaletrasparenza.consorziobacchiglione.it/dettagli/attodigara/432/fornitura-materiale-di-ricambio-per-decespugliatori-c-o-s-margherita.html"</f>
        <v>https://portaletrasparenza.consorziobacchiglione.it/dettagli/attodigara/432/fornitura-materiale-di-ricambio-per-decespugliatori-c-o-s-margherita.html</v>
      </c>
      <c r="U1025" t="str">
        <f>""</f>
        <v/>
      </c>
      <c r="V10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26" spans="1:22" x14ac:dyDescent="0.3">
      <c r="A1026" t="str">
        <f>"Affidamento"</f>
        <v>Affidamento</v>
      </c>
      <c r="B1026" t="str">
        <f>"Varazione di materiale per tetto di copertura sede consorziale."</f>
        <v>Varazione di materiale per tetto di copertura sede consorziale.</v>
      </c>
      <c r="C1026" t="str">
        <f>"Z3119E8498"</f>
        <v>Z3119E8498</v>
      </c>
      <c r="D1026" t="str">
        <f>"04/11/2021"</f>
        <v>04/11/2021</v>
      </c>
      <c r="E1026" t="str">
        <f>""</f>
        <v/>
      </c>
      <c r="F1026" t="str">
        <f>""</f>
        <v/>
      </c>
      <c r="G1026" t="str">
        <f>"3850.00"</f>
        <v>3850.00</v>
      </c>
      <c r="H1026" t="str">
        <f>"Consorzio di bonifica Bacchiglione"</f>
        <v>Consorzio di bonifica Bacchiglione</v>
      </c>
      <c r="I1026" t="str">
        <f>"92223390284"</f>
        <v>92223390284</v>
      </c>
      <c r="J1026" t="str">
        <f>"23-AFFIDAMENTO DIRETTO"</f>
        <v>23-AFFIDAMENTO DIRETTO</v>
      </c>
      <c r="K1026" t="str">
        <f>"17/05/2021"</f>
        <v>17/05/2021</v>
      </c>
      <c r="L1026" t="str">
        <f>"18/07/2021"</f>
        <v>18/07/2021</v>
      </c>
      <c r="M1026" t="str">
        <f>""</f>
        <v/>
      </c>
      <c r="N1026" t="str">
        <f>"Destro Cesare Via G.Mandelli 1 35100 Padova"</f>
        <v>Destro Cesare Via G.Mandelli 1 35100 Padova</v>
      </c>
      <c r="O1026" t="str">
        <f>"Destro Cesare Via G.Mandelli 1 35100 Padova"</f>
        <v>Destro Cesare Via G.Mandelli 1 35100 Padova</v>
      </c>
      <c r="P1026" t="str">
        <f>"Z3119E8498: [3850.00€ ]"</f>
        <v>Z3119E8498: [3850.00€ ]</v>
      </c>
      <c r="Q1026" t="str">
        <f>""</f>
        <v/>
      </c>
      <c r="R1026" t="str">
        <f>""</f>
        <v/>
      </c>
      <c r="S1026" t="str">
        <f>""</f>
        <v/>
      </c>
      <c r="T1026" t="str">
        <f>"https://portaletrasparenza.consorziobacchiglione.it/dettagli/attodigara/431/varazione-di-materiale-per-tetto-di-copertura-sede-consorziale.html"</f>
        <v>https://portaletrasparenza.consorziobacchiglione.it/dettagli/attodigara/431/varazione-di-materiale-per-tetto-di-copertura-sede-consorziale.html</v>
      </c>
      <c r="U1026" t="str">
        <f>""</f>
        <v/>
      </c>
      <c r="V10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27" spans="1:22" x14ac:dyDescent="0.3">
      <c r="A1027" t="str">
        <f>"Affidamento"</f>
        <v>Affidamento</v>
      </c>
      <c r="B1027" t="str">
        <f>"Lavori di demolizione muratura esistente vanno caldaia sede consorziale."</f>
        <v>Lavori di demolizione muratura esistente vanno caldaia sede consorziale.</v>
      </c>
      <c r="C1027" t="str">
        <f>"ZDE19E832E"</f>
        <v>ZDE19E832E</v>
      </c>
      <c r="D1027" t="str">
        <f>"04/11/2021"</f>
        <v>04/11/2021</v>
      </c>
      <c r="E1027" t="str">
        <f>""</f>
        <v/>
      </c>
      <c r="F1027" t="str">
        <f>""</f>
        <v/>
      </c>
      <c r="G1027" t="str">
        <f>"1900.00"</f>
        <v>1900.00</v>
      </c>
      <c r="H1027" t="str">
        <f>"Consorzio di bonifica Bacchiglione"</f>
        <v>Consorzio di bonifica Bacchiglione</v>
      </c>
      <c r="I1027" t="str">
        <f>"92223390284"</f>
        <v>92223390284</v>
      </c>
      <c r="J1027" t="str">
        <f>"23-AFFIDAMENTO DIRETTO"</f>
        <v>23-AFFIDAMENTO DIRETTO</v>
      </c>
      <c r="K1027" t="str">
        <f>"17/05/2021"</f>
        <v>17/05/2021</v>
      </c>
      <c r="L1027" t="str">
        <f>"10/08/2021"</f>
        <v>10/08/2021</v>
      </c>
      <c r="M1027" t="str">
        <f>""</f>
        <v/>
      </c>
      <c r="N1027" t="str">
        <f>"Balla Costruzioni di Balla Skender Via Kennedy 7(1-3) 35020 Polverara PD"</f>
        <v>Balla Costruzioni di Balla Skender Via Kennedy 7(1-3) 35020 Polverara PD</v>
      </c>
      <c r="O1027" t="str">
        <f>"Balla Costruzioni di Balla Skender Via Kennedy 7(1-3) 35020 Polverara PD"</f>
        <v>Balla Costruzioni di Balla Skender Via Kennedy 7(1-3) 35020 Polverara PD</v>
      </c>
      <c r="P1027" t="str">
        <f>"ZDE19E832E: [1900.00€ ]"</f>
        <v>ZDE19E832E: [1900.00€ ]</v>
      </c>
      <c r="Q1027" t="str">
        <f>""</f>
        <v/>
      </c>
      <c r="R1027" t="str">
        <f>""</f>
        <v/>
      </c>
      <c r="S1027" t="str">
        <f>""</f>
        <v/>
      </c>
      <c r="T1027" t="str">
        <f>"https://portaletrasparenza.consorziobacchiglione.it/dettagli/attodigara/430/lavori-di-demolizione-muratura-esistente-vanno-caldaia-sede-consorziale.html"</f>
        <v>https://portaletrasparenza.consorziobacchiglione.it/dettagli/attodigara/430/lavori-di-demolizione-muratura-esistente-vanno-caldaia-sede-consorziale.html</v>
      </c>
      <c r="U1027" t="str">
        <f>""</f>
        <v/>
      </c>
      <c r="V102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28" spans="1:22" x14ac:dyDescent="0.3">
      <c r="A1028" t="str">
        <f>"Affidamento"</f>
        <v>Affidamento</v>
      </c>
      <c r="B1028" t="str">
        <f>"Lavori extra per porzione fabbricato sede consorziale."</f>
        <v>Lavori extra per porzione fabbricato sede consorziale.</v>
      </c>
      <c r="C1028" t="str">
        <f>"ZCA19E81B6"</f>
        <v>ZCA19E81B6</v>
      </c>
      <c r="D1028" t="str">
        <f>"04/11/2021"</f>
        <v>04/11/2021</v>
      </c>
      <c r="E1028" t="str">
        <f>""</f>
        <v/>
      </c>
      <c r="F1028" t="str">
        <f>""</f>
        <v/>
      </c>
      <c r="G1028" t="str">
        <f>"2990.00"</f>
        <v>2990.00</v>
      </c>
      <c r="H1028" t="str">
        <f>"Consorzio di bonifica Bacchiglione"</f>
        <v>Consorzio di bonifica Bacchiglione</v>
      </c>
      <c r="I1028" t="str">
        <f>"92223390284"</f>
        <v>92223390284</v>
      </c>
      <c r="J1028" t="str">
        <f>"23-AFFIDAMENTO DIRETTO"</f>
        <v>23-AFFIDAMENTO DIRETTO</v>
      </c>
      <c r="K1028" t="str">
        <f>"17/05/2021"</f>
        <v>17/05/2021</v>
      </c>
      <c r="L1028" t="str">
        <f>"01/08/2021"</f>
        <v>01/08/2021</v>
      </c>
      <c r="M1028" t="str">
        <f>""</f>
        <v/>
      </c>
      <c r="N1028" t="str">
        <f>"F.lli Pastore S.R.L. Via Pozzoveggiani 34-3 Salboro PD"</f>
        <v>F.lli Pastore S.R.L. Via Pozzoveggiani 34-3 Salboro PD</v>
      </c>
      <c r="O1028" t="str">
        <f>"F.lli Pastore S.R.L. Via Pozzoveggiani 34-3 Salboro PD"</f>
        <v>F.lli Pastore S.R.L. Via Pozzoveggiani 34-3 Salboro PD</v>
      </c>
      <c r="P1028" t="str">
        <f>"ZCA19E81B6: [2990.00€ ]"</f>
        <v>ZCA19E81B6: [2990.00€ ]</v>
      </c>
      <c r="Q1028" t="str">
        <f>""</f>
        <v/>
      </c>
      <c r="R1028" t="str">
        <f>""</f>
        <v/>
      </c>
      <c r="S1028" t="str">
        <f>""</f>
        <v/>
      </c>
      <c r="T1028" t="str">
        <f>"https://portaletrasparenza.consorziobacchiglione.it/dettagli/attodigara/429/lavori-extra-per-porzione-fabbricato-sede-consorziale.html"</f>
        <v>https://portaletrasparenza.consorziobacchiglione.it/dettagli/attodigara/429/lavori-extra-per-porzione-fabbricato-sede-consorziale.html</v>
      </c>
      <c r="U1028" t="str">
        <f>""</f>
        <v/>
      </c>
      <c r="V10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29" spans="1:22" x14ac:dyDescent="0.3">
      <c r="A1029" t="str">
        <f>"Affidamento"</f>
        <v>Affidamento</v>
      </c>
      <c r="B1029" t="str">
        <f>"Sistemazione vanno caldaia sede consorziale."</f>
        <v>Sistemazione vanno caldaia sede consorziale.</v>
      </c>
      <c r="C1029" t="str">
        <f>"Z0319E8105"</f>
        <v>Z0319E8105</v>
      </c>
      <c r="D1029" t="str">
        <f>"04/11/2021"</f>
        <v>04/11/2021</v>
      </c>
      <c r="E1029" t="str">
        <f>""</f>
        <v/>
      </c>
      <c r="F1029" t="str">
        <f>""</f>
        <v/>
      </c>
      <c r="G1029" t="str">
        <f>"7832.50"</f>
        <v>7832.50</v>
      </c>
      <c r="H1029" t="str">
        <f>"Consorzio di bonifica Bacchiglione"</f>
        <v>Consorzio di bonifica Bacchiglione</v>
      </c>
      <c r="I1029" t="str">
        <f>"92223390284"</f>
        <v>92223390284</v>
      </c>
      <c r="J1029" t="str">
        <f>"23-AFFIDAMENTO DIRETTO"</f>
        <v>23-AFFIDAMENTO DIRETTO</v>
      </c>
      <c r="K1029" t="str">
        <f>"17/05/2021"</f>
        <v>17/05/2021</v>
      </c>
      <c r="L1029" t="str">
        <f>"06/09/2021"</f>
        <v>06/09/2021</v>
      </c>
      <c r="M1029" t="str">
        <f>""</f>
        <v/>
      </c>
      <c r="N1029" t="str">
        <f>"F.lli Pastore S.R.L. Via Pozzoveggiani 34-3 Salboro PD"</f>
        <v>F.lli Pastore S.R.L. Via Pozzoveggiani 34-3 Salboro PD</v>
      </c>
      <c r="O1029" t="str">
        <f>"F.lli Pastore S.R.L. Via Pozzoveggiani 34-3 Salboro PD"</f>
        <v>F.lli Pastore S.R.L. Via Pozzoveggiani 34-3 Salboro PD</v>
      </c>
      <c r="P1029" t="str">
        <f>"Z0319E8105: [7832.50€ ]"</f>
        <v>Z0319E8105: [7832.50€ ]</v>
      </c>
      <c r="Q1029" t="str">
        <f>""</f>
        <v/>
      </c>
      <c r="R1029" t="str">
        <f>""</f>
        <v/>
      </c>
      <c r="S1029" t="str">
        <f>""</f>
        <v/>
      </c>
      <c r="T1029" t="str">
        <f>"https://portaletrasparenza.consorziobacchiglione.it/dettagli/attodigara/428/sistemazione-vanno-caldaia-sede-consorziale.html"</f>
        <v>https://portaletrasparenza.consorziobacchiglione.it/dettagli/attodigara/428/sistemazione-vanno-caldaia-sede-consorziale.html</v>
      </c>
      <c r="U1029" t="str">
        <f>""</f>
        <v/>
      </c>
      <c r="V10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30" spans="1:22" x14ac:dyDescent="0.3">
      <c r="A1030" t="str">
        <f>"Affidamento"</f>
        <v>Affidamento</v>
      </c>
      <c r="B1030" t="str">
        <f>"Riparazione gomma del mezzo targato: FF936PM"</f>
        <v>Riparazione gomma del mezzo targato: FF936PM</v>
      </c>
      <c r="C1030" t="str">
        <f>"Z1B31C2B47"</f>
        <v>Z1B31C2B47</v>
      </c>
      <c r="D1030" t="str">
        <f>"18/05/2021"</f>
        <v>18/05/2021</v>
      </c>
      <c r="E1030" t="str">
        <f>""</f>
        <v/>
      </c>
      <c r="F1030" t="str">
        <f>""</f>
        <v/>
      </c>
      <c r="G1030" t="str">
        <f>"20.00"</f>
        <v>20.00</v>
      </c>
      <c r="H1030" t="str">
        <f>"Consorzio di bonifica Bacchiglione"</f>
        <v>Consorzio di bonifica Bacchiglione</v>
      </c>
      <c r="I1030" t="str">
        <f>"92223390284"</f>
        <v>92223390284</v>
      </c>
      <c r="J1030" t="str">
        <f>"23-AFFIDAMENTO DIRETTO"</f>
        <v>23-AFFIDAMENTO DIRETTO</v>
      </c>
      <c r="K1030" t="str">
        <f>"17/05/2021"</f>
        <v>17/05/2021</v>
      </c>
      <c r="L1030" t="str">
        <f>"25/05/2021"</f>
        <v>25/05/2021</v>
      </c>
      <c r="M1030" t="str">
        <f>""</f>
        <v/>
      </c>
      <c r="N1030" t="str">
        <f>"Galesso Roberto Via San Rocco 52B 35028 Piove di Sacco PD"</f>
        <v>Galesso Roberto Via San Rocco 52B 35028 Piove di Sacco PD</v>
      </c>
      <c r="O1030" t="str">
        <f>"Galesso Roberto Via San Rocco 52B 35028 Piove di Sacco PD"</f>
        <v>Galesso Roberto Via San Rocco 52B 35028 Piove di Sacco PD</v>
      </c>
      <c r="P1030" t="str">
        <f>"Z1B31C2B47: [20.00€ ]"</f>
        <v>Z1B31C2B47: [20.00€ ]</v>
      </c>
      <c r="Q1030" t="str">
        <f>""</f>
        <v/>
      </c>
      <c r="R1030" t="str">
        <f>""</f>
        <v/>
      </c>
      <c r="S1030" t="str">
        <f>""</f>
        <v/>
      </c>
      <c r="T1030" t="str">
        <f>"https://portaletrasparenza.consorziobacchiglione.it/dettagli/attodigara/6883/riparazione-gomma-del-mezzo-targato-ff936pm.html"</f>
        <v>https://portaletrasparenza.consorziobacchiglione.it/dettagli/attodigara/6883/riparazione-gomma-del-mezzo-targato-ff936pm.html</v>
      </c>
      <c r="U1030" t="str">
        <f>"https://portaletrasparenza.consorziobacchiglione.it/download/attodigara/6883/63ac458cf1f92.PDF"</f>
        <v>https://portaletrasparenza.consorziobacchiglione.it/download/attodigara/6883/63ac458cf1f92.PDF</v>
      </c>
      <c r="V10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31" spans="1:22" x14ac:dyDescent="0.3">
      <c r="A1031" t="str">
        <f>"Affidamento"</f>
        <v>Affidamento</v>
      </c>
      <c r="B1031" t="str">
        <f>"Manutenzione e riparazione mezzo con targa: AJ205BM"</f>
        <v>Manutenzione e riparazione mezzo con targa: AJ205BM</v>
      </c>
      <c r="C1031" t="str">
        <f>"ZBA31C2617"</f>
        <v>ZBA31C2617</v>
      </c>
      <c r="D1031" t="str">
        <f>"18/05/2021"</f>
        <v>18/05/2021</v>
      </c>
      <c r="E1031" t="str">
        <f>""</f>
        <v/>
      </c>
      <c r="F1031" t="str">
        <f>""</f>
        <v/>
      </c>
      <c r="G1031" t="str">
        <f>"280.00"</f>
        <v>280.00</v>
      </c>
      <c r="H1031" t="str">
        <f>"Consorzio di bonifica Bacchiglione"</f>
        <v>Consorzio di bonifica Bacchiglione</v>
      </c>
      <c r="I1031" t="str">
        <f>"92223390284"</f>
        <v>92223390284</v>
      </c>
      <c r="J1031" t="str">
        <f>"23-AFFIDAMENTO DIRETTO"</f>
        <v>23-AFFIDAMENTO DIRETTO</v>
      </c>
      <c r="K1031" t="str">
        <f>"17/05/2021"</f>
        <v>17/05/2021</v>
      </c>
      <c r="L1031" t="str">
        <f>"31/05/2021"</f>
        <v>31/05/2021</v>
      </c>
      <c r="M1031" t="str">
        <f>""</f>
        <v/>
      </c>
      <c r="N1031" t="str">
        <f>"Negrisolo Officina Meccanica s.a.s. V.le delle Industrie II° strada 13 35025 Cagnola di Cartura PD"</f>
        <v>Negrisolo Officina Meccanica s.a.s. V.le delle Industrie II° strada 13 35025 Cagnola di Cartura PD</v>
      </c>
      <c r="O1031" t="str">
        <f>"Negrisolo Officina Meccanica s.a.s. V.le delle Industrie II° strada 13 35025 Cagnola di Cartura PD"</f>
        <v>Negrisolo Officina Meccanica s.a.s. V.le delle Industrie II° strada 13 35025 Cagnola di Cartura PD</v>
      </c>
      <c r="P1031" t="str">
        <f>"ZBA31C2617: [280.00€ ]"</f>
        <v>ZBA31C2617: [280.00€ ]</v>
      </c>
      <c r="Q1031" t="str">
        <f>""</f>
        <v/>
      </c>
      <c r="R1031" t="str">
        <f>""</f>
        <v/>
      </c>
      <c r="S1031" t="str">
        <f>""</f>
        <v/>
      </c>
      <c r="T1031" t="str">
        <f>"https://portaletrasparenza.consorziobacchiglione.it/dettagli/attodigara/6881/manutenzione-e-riparazione-mezzo-con-targa-aj205bm.html"</f>
        <v>https://portaletrasparenza.consorziobacchiglione.it/dettagli/attodigara/6881/manutenzione-e-riparazione-mezzo-con-targa-aj205bm.html</v>
      </c>
      <c r="U1031" t="str">
        <f>"https://portaletrasparenza.consorziobacchiglione.it/download/attodigara/6881/63ac458cb996b.PDF"</f>
        <v>https://portaletrasparenza.consorziobacchiglione.it/download/attodigara/6881/63ac458cb996b.PDF</v>
      </c>
      <c r="V10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32" spans="1:22" x14ac:dyDescent="0.3">
      <c r="A1032" t="str">
        <f>"Affidamento"</f>
        <v>Affidamento</v>
      </c>
      <c r="B1032" t="str">
        <f>"Tagliando completo del mezzo targato: FB038DG"</f>
        <v>Tagliando completo del mezzo targato: FB038DG</v>
      </c>
      <c r="C1032" t="str">
        <f>"Z5531C2943"</f>
        <v>Z5531C2943</v>
      </c>
      <c r="D1032" t="str">
        <f>"18/05/2021"</f>
        <v>18/05/2021</v>
      </c>
      <c r="E1032" t="str">
        <f>""</f>
        <v/>
      </c>
      <c r="F1032" t="str">
        <f>""</f>
        <v/>
      </c>
      <c r="G1032" t="str">
        <f>"327.00"</f>
        <v>327.00</v>
      </c>
      <c r="H1032" t="str">
        <f>"Consorzio di bonifica Bacchiglione"</f>
        <v>Consorzio di bonifica Bacchiglione</v>
      </c>
      <c r="I1032" t="str">
        <f>"92223390284"</f>
        <v>92223390284</v>
      </c>
      <c r="J1032" t="str">
        <f>"23-AFFIDAMENTO DIRETTO"</f>
        <v>23-AFFIDAMENTO DIRETTO</v>
      </c>
      <c r="K1032" t="str">
        <f>"17/05/2021"</f>
        <v>17/05/2021</v>
      </c>
      <c r="L1032" t="str">
        <f>"26/05/2021"</f>
        <v>26/05/2021</v>
      </c>
      <c r="M1032" t="str">
        <f>""</f>
        <v/>
      </c>
      <c r="N1032" t="str">
        <f>"Autofficina Gobbato Gianluca via Vivaldi 40A 35028 Piove di sacco PD"</f>
        <v>Autofficina Gobbato Gianluca via Vivaldi 40A 35028 Piove di sacco PD</v>
      </c>
      <c r="O1032" t="str">
        <f>"Autofficina Gobbato Gianluca via Vivaldi 40A 35028 Piove di sacco PD"</f>
        <v>Autofficina Gobbato Gianluca via Vivaldi 40A 35028 Piove di sacco PD</v>
      </c>
      <c r="P1032" t="str">
        <f>"Z5531C2943: [0.00€ ]"</f>
        <v>Z5531C2943: [0.00€ ]</v>
      </c>
      <c r="Q1032" t="str">
        <f>""</f>
        <v/>
      </c>
      <c r="R1032" t="str">
        <f>""</f>
        <v/>
      </c>
      <c r="S1032" t="str">
        <f>""</f>
        <v/>
      </c>
      <c r="T1032" t="str">
        <f>"https://portaletrasparenza.consorziobacchiglione.it/dettagli/attodigara/6882/tagliando-completo-del-mezzo-targato-fb038dg.html"</f>
        <v>https://portaletrasparenza.consorziobacchiglione.it/dettagli/attodigara/6882/tagliando-completo-del-mezzo-targato-fb038dg.html</v>
      </c>
      <c r="U1032" t="str">
        <f>"https://portaletrasparenza.consorziobacchiglione.it/download/attodigara/6882/62a209fd4183b.PDF"</f>
        <v>https://portaletrasparenza.consorziobacchiglione.it/download/attodigara/6882/62a209fd4183b.PDF</v>
      </c>
      <c r="V1032">
        <f>(SUBSTITUTE(Tabella1[[#This Row],[Importo di aggiudicazione]],".",","))-(SUBSTITUTE(  SUBSTITUTE(          SUBSTITUTE(Tabella1[[#This Row],[Dettaglio somme liquidate]],Tabella1[[#This Row],[CIG]]&amp;": [",""),"€ ]",""),".",","))</f>
        <v>327</v>
      </c>
    </row>
    <row r="1033" spans="1:22" x14ac:dyDescent="0.3">
      <c r="A1033" t="str">
        <f>"Affidamento"</f>
        <v>Affidamento</v>
      </c>
      <c r="B1033" t="str">
        <f>"Fornitura materiale edile per scolo Scarpa, scolo Altipiano, Idrovora di Lova."</f>
        <v>Fornitura materiale edile per scolo Scarpa, scolo Altipiano, Idrovora di Lova.</v>
      </c>
      <c r="C1033" t="str">
        <f>"Z5B1A548A3"</f>
        <v>Z5B1A548A3</v>
      </c>
      <c r="D1033" t="str">
        <f>"04/11/2021"</f>
        <v>04/11/2021</v>
      </c>
      <c r="E1033" t="str">
        <f>""</f>
        <v/>
      </c>
      <c r="F1033" t="str">
        <f>""</f>
        <v/>
      </c>
      <c r="G1033" t="str">
        <f>"456.70"</f>
        <v>456.70</v>
      </c>
      <c r="H1033" t="str">
        <f>"Consorzio di bonifica Bacchiglione"</f>
        <v>Consorzio di bonifica Bacchiglione</v>
      </c>
      <c r="I1033" t="str">
        <f>"92223390284"</f>
        <v>92223390284</v>
      </c>
      <c r="J1033" t="str">
        <f>"23-AFFIDAMENTO DIRETTO"</f>
        <v>23-AFFIDAMENTO DIRETTO</v>
      </c>
      <c r="K1033" t="str">
        <f>"17/06/2021"</f>
        <v>17/06/2021</v>
      </c>
      <c r="L1033" t="str">
        <f>"05/10/2021"</f>
        <v>05/10/2021</v>
      </c>
      <c r="M1033" t="str">
        <f>""</f>
        <v/>
      </c>
      <c r="N1033" t="str">
        <f>"Idronord s.r.l. Via delle Industrie 3C 30036 Santa Maria Di Sala VE"</f>
        <v>Idronord s.r.l. Via delle Industrie 3C 30036 Santa Maria Di Sala VE</v>
      </c>
      <c r="O1033" t="str">
        <f>"Idronord s.r.l. Via delle Industrie 3C 30036 Santa Maria Di Sala VE"</f>
        <v>Idronord s.r.l. Via delle Industrie 3C 30036 Santa Maria Di Sala VE</v>
      </c>
      <c r="P1033" t="str">
        <f>"Z5B1A548A3: [456.70€ ]"</f>
        <v>Z5B1A548A3: [456.70€ ]</v>
      </c>
      <c r="Q1033" t="str">
        <f>""</f>
        <v/>
      </c>
      <c r="R1033" t="str">
        <f>""</f>
        <v/>
      </c>
      <c r="S1033" t="str">
        <f>""</f>
        <v/>
      </c>
      <c r="T1033" t="str">
        <f>"https://portaletrasparenza.consorziobacchiglione.it/dettagli/attodigara/539/fornitura-materiale-edile-per-scolo-scarpa-scolo-altipiano-idrovora-di-lova.html"</f>
        <v>https://portaletrasparenza.consorziobacchiglione.it/dettagli/attodigara/539/fornitura-materiale-edile-per-scolo-scarpa-scolo-altipiano-idrovora-di-lova.html</v>
      </c>
      <c r="U1033" t="str">
        <f>""</f>
        <v/>
      </c>
      <c r="V10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34" spans="1:22" x14ac:dyDescent="0.3">
      <c r="A1034" t="str">
        <f>"Affidamento"</f>
        <v>Affidamento</v>
      </c>
      <c r="B1034" t="str">
        <f>"Manutenzione , riparazione e lavaggio mezzi con targa: PDAH661, PDAH521, PDAH662, AGK711, motopompa n 4, sollevatore n 52."</f>
        <v>Manutenzione , riparazione e lavaggio mezzi con targa: PDAH661, PDAH521, PDAH662, AGK711, motopompa n 4, sollevatore n 52.</v>
      </c>
      <c r="C1034" t="str">
        <f>"Z691A54687"</f>
        <v>Z691A54687</v>
      </c>
      <c r="D1034" t="str">
        <f>"04/11/2021"</f>
        <v>04/11/2021</v>
      </c>
      <c r="E1034" t="str">
        <f>""</f>
        <v/>
      </c>
      <c r="F1034" t="str">
        <f>""</f>
        <v/>
      </c>
      <c r="G1034" t="str">
        <f>"1995.15"</f>
        <v>1995.15</v>
      </c>
      <c r="H1034" t="str">
        <f>"Consorzio di bonifica Bacchiglione"</f>
        <v>Consorzio di bonifica Bacchiglione</v>
      </c>
      <c r="I1034" t="str">
        <f>"92223390284"</f>
        <v>92223390284</v>
      </c>
      <c r="J1034" t="str">
        <f>"23-AFFIDAMENTO DIRETTO"</f>
        <v>23-AFFIDAMENTO DIRETTO</v>
      </c>
      <c r="K1034" t="str">
        <f>"17/06/2021"</f>
        <v>17/06/2021</v>
      </c>
      <c r="L1034" t="str">
        <f>"21/07/2021"</f>
        <v>21/07/2021</v>
      </c>
      <c r="M1034" t="str">
        <f>""</f>
        <v/>
      </c>
      <c r="N1034" t="str">
        <f>"Officina Biesse S.n.c. Via Matteotti 24 35020 Arzergrande PD"</f>
        <v>Officina Biesse S.n.c. Via Matteotti 24 35020 Arzergrande PD</v>
      </c>
      <c r="O1034" t="str">
        <f>"Officina Biesse S.n.c. Via Matteotti 24 35020 Arzergrande PD"</f>
        <v>Officina Biesse S.n.c. Via Matteotti 24 35020 Arzergrande PD</v>
      </c>
      <c r="P1034" t="str">
        <f>"Z691A54687: [1995.15€ ]"</f>
        <v>Z691A54687: [1995.15€ ]</v>
      </c>
      <c r="Q1034" t="str">
        <f>""</f>
        <v/>
      </c>
      <c r="R1034" t="str">
        <f>""</f>
        <v/>
      </c>
      <c r="S1034" t="str">
        <f>""</f>
        <v/>
      </c>
      <c r="T1034" t="str">
        <f>"https://portaletrasparenza.consorziobacchiglione.it/dettagli/attodigara/538/manutenzione-riparazione-e-lavaggio-mezzi-con-targa-pdah661-pdah521-pdah662-agk711-motopompa-n-4-sollevatore-n-52.html"</f>
        <v>https://portaletrasparenza.consorziobacchiglione.it/dettagli/attodigara/538/manutenzione-riparazione-e-lavaggio-mezzi-con-targa-pdah661-pdah521-pdah662-agk711-motopompa-n-4-sollevatore-n-52.html</v>
      </c>
      <c r="U1034" t="str">
        <f>""</f>
        <v/>
      </c>
      <c r="V10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35" spans="1:22" x14ac:dyDescent="0.3">
      <c r="A1035" t="str">
        <f>"Affidamento"</f>
        <v>Affidamento</v>
      </c>
      <c r="B1035" t="str">
        <f>"Manutenzione e riparazione paratoia su scolo Altipiano in via Gesso Arzergrande."</f>
        <v>Manutenzione e riparazione paratoia su scolo Altipiano in via Gesso Arzergrande.</v>
      </c>
      <c r="C1035" t="str">
        <f>"ZC81A544AE"</f>
        <v>ZC81A544AE</v>
      </c>
      <c r="D1035" t="str">
        <f>"04/11/2021"</f>
        <v>04/11/2021</v>
      </c>
      <c r="E1035" t="str">
        <f>""</f>
        <v/>
      </c>
      <c r="F1035" t="str">
        <f>""</f>
        <v/>
      </c>
      <c r="G1035" t="str">
        <f>"794.50"</f>
        <v>794.50</v>
      </c>
      <c r="H1035" t="str">
        <f>"Consorzio di bonifica Bacchiglione"</f>
        <v>Consorzio di bonifica Bacchiglione</v>
      </c>
      <c r="I1035" t="str">
        <f>"92223390284"</f>
        <v>92223390284</v>
      </c>
      <c r="J1035" t="str">
        <f>"23-AFFIDAMENTO DIRETTO"</f>
        <v>23-AFFIDAMENTO DIRETTO</v>
      </c>
      <c r="K1035" t="str">
        <f>"17/06/2021"</f>
        <v>17/06/2021</v>
      </c>
      <c r="L1035" t="str">
        <f>"27/06/2021"</f>
        <v>27/06/2021</v>
      </c>
      <c r="M1035" t="str">
        <f>""</f>
        <v/>
      </c>
      <c r="N1035" t="str">
        <f>"Officina Biesse S.n.c. Via Matteotti 24 35020 Arzergrande PD"</f>
        <v>Officina Biesse S.n.c. Via Matteotti 24 35020 Arzergrande PD</v>
      </c>
      <c r="O1035" t="str">
        <f>"Officina Biesse S.n.c. Via Matteotti 24 35020 Arzergrande PD"</f>
        <v>Officina Biesse S.n.c. Via Matteotti 24 35020 Arzergrande PD</v>
      </c>
      <c r="P1035" t="str">
        <f>"ZC81A544AE: [794.50€ ]"</f>
        <v>ZC81A544AE: [794.50€ ]</v>
      </c>
      <c r="Q1035" t="str">
        <f>""</f>
        <v/>
      </c>
      <c r="R1035" t="str">
        <f>""</f>
        <v/>
      </c>
      <c r="S1035" t="str">
        <f>""</f>
        <v/>
      </c>
      <c r="T1035" t="str">
        <f>"https://portaletrasparenza.consorziobacchiglione.it/dettagli/attodigara/537/manutenzione-e-riparazione-paratoia-su-scolo-altipiano-in-via-gesso-arzergrande.html"</f>
        <v>https://portaletrasparenza.consorziobacchiglione.it/dettagli/attodigara/537/manutenzione-e-riparazione-paratoia-su-scolo-altipiano-in-via-gesso-arzergrande.html</v>
      </c>
      <c r="U1035" t="str">
        <f>""</f>
        <v/>
      </c>
      <c r="V10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36" spans="1:22" x14ac:dyDescent="0.3">
      <c r="A1036" t="str">
        <f>"Affidamento"</f>
        <v>Affidamento</v>
      </c>
      <c r="B1036" t="str">
        <f>"Effettuazione del prelievo ed analisi chimiche su campioni di sedimento e terreno."</f>
        <v>Effettuazione del prelievo ed analisi chimiche su campioni di sedimento e terreno.</v>
      </c>
      <c r="C1036" t="str">
        <f>"Z3A1A53AD7"</f>
        <v>Z3A1A53AD7</v>
      </c>
      <c r="D1036" t="str">
        <f>"04/11/2021"</f>
        <v>04/11/2021</v>
      </c>
      <c r="E1036" t="str">
        <f>""</f>
        <v/>
      </c>
      <c r="F1036" t="str">
        <f>""</f>
        <v/>
      </c>
      <c r="G1036" t="str">
        <f>"2100.00"</f>
        <v>2100.00</v>
      </c>
      <c r="H1036" t="str">
        <f>"Consorzio di bonifica Bacchiglione"</f>
        <v>Consorzio di bonifica Bacchiglione</v>
      </c>
      <c r="I1036" t="str">
        <f>"92223390284"</f>
        <v>92223390284</v>
      </c>
      <c r="J1036" t="str">
        <f>"23-AFFIDAMENTO DIRETTO"</f>
        <v>23-AFFIDAMENTO DIRETTO</v>
      </c>
      <c r="K1036" t="str">
        <f>"17/06/2021"</f>
        <v>17/06/2021</v>
      </c>
      <c r="L1036" t="str">
        <f>"30/09/2021"</f>
        <v>30/09/2021</v>
      </c>
      <c r="M1036" t="str">
        <f>""</f>
        <v/>
      </c>
      <c r="N1036" t="str">
        <f>"Innovazione Chimica s.r.l."</f>
        <v>Innovazione Chimica s.r.l.</v>
      </c>
      <c r="O1036" t="str">
        <f>"Innovazione Chimica s.r.l."</f>
        <v>Innovazione Chimica s.r.l.</v>
      </c>
      <c r="P1036" t="str">
        <f>"Z3A1A53AD7: [2100.00€ ]"</f>
        <v>Z3A1A53AD7: [2100.00€ ]</v>
      </c>
      <c r="Q1036" t="str">
        <f>""</f>
        <v/>
      </c>
      <c r="R1036" t="str">
        <f>""</f>
        <v/>
      </c>
      <c r="S1036" t="str">
        <f>""</f>
        <v/>
      </c>
      <c r="T1036" t="str">
        <f>"https://portaletrasparenza.consorziobacchiglione.it/dettagli/attodigara/536/effettuazione-del-prelievo-ed-analisi-chimiche-su-campioni-di-sedimento-e-terreno.html"</f>
        <v>https://portaletrasparenza.consorziobacchiglione.it/dettagli/attodigara/536/effettuazione-del-prelievo-ed-analisi-chimiche-su-campioni-di-sedimento-e-terreno.html</v>
      </c>
      <c r="U1036" t="str">
        <f>""</f>
        <v/>
      </c>
      <c r="V10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37" spans="1:22" x14ac:dyDescent="0.3">
      <c r="A1037" t="str">
        <f>"Affidamento"</f>
        <v>Affidamento</v>
      </c>
      <c r="B1037" t="str">
        <f>"Corso di formazione secondo Accordo Stato Regioni per personale consorziale."</f>
        <v>Corso di formazione secondo Accordo Stato Regioni per personale consorziale.</v>
      </c>
      <c r="C1037" t="str">
        <f>"Z6A1A53FEF"</f>
        <v>Z6A1A53FEF</v>
      </c>
      <c r="D1037" t="str">
        <f>"04/11/2021"</f>
        <v>04/11/2021</v>
      </c>
      <c r="E1037" t="str">
        <f>""</f>
        <v/>
      </c>
      <c r="F1037" t="str">
        <f>""</f>
        <v/>
      </c>
      <c r="G1037" t="str">
        <f>"988.00"</f>
        <v>988.00</v>
      </c>
      <c r="H1037" t="str">
        <f>"Consorzio di bonifica Bacchiglione"</f>
        <v>Consorzio di bonifica Bacchiglione</v>
      </c>
      <c r="I1037" t="str">
        <f>"92223390284"</f>
        <v>92223390284</v>
      </c>
      <c r="J1037" t="str">
        <f>"23-AFFIDAMENTO DIRETTO"</f>
        <v>23-AFFIDAMENTO DIRETTO</v>
      </c>
      <c r="K1037" t="str">
        <f>"17/06/2021"</f>
        <v>17/06/2021</v>
      </c>
      <c r="L1037" t="str">
        <f>"12/07/2021"</f>
        <v>12/07/2021</v>
      </c>
      <c r="M1037" t="str">
        <f>""</f>
        <v/>
      </c>
      <c r="N1037" t="str">
        <f>"Cibola ing. Rodolfo Via A. Manzoni 27 35020 Saonara PD"</f>
        <v>Cibola ing. Rodolfo Via A. Manzoni 27 35020 Saonara PD</v>
      </c>
      <c r="O1037" t="str">
        <f>"Cibola ing. Rodolfo Via A. Manzoni 27 35020 Saonara PD"</f>
        <v>Cibola ing. Rodolfo Via A. Manzoni 27 35020 Saonara PD</v>
      </c>
      <c r="P1037" t="str">
        <f>"Z6A1A53FEF: [988.00€ ]"</f>
        <v>Z6A1A53FEF: [988.00€ ]</v>
      </c>
      <c r="Q1037" t="str">
        <f>""</f>
        <v/>
      </c>
      <c r="R1037" t="str">
        <f>""</f>
        <v/>
      </c>
      <c r="S1037" t="str">
        <f>""</f>
        <v/>
      </c>
      <c r="T1037" t="str">
        <f>"https://portaletrasparenza.consorziobacchiglione.it/dettagli/attodigara/535/corso-di-formazione-secondo-accordo-stato-regioni-per-personale-consorziale.html"</f>
        <v>https://portaletrasparenza.consorziobacchiglione.it/dettagli/attodigara/535/corso-di-formazione-secondo-accordo-stato-regioni-per-personale-consorziale.html</v>
      </c>
      <c r="U1037" t="str">
        <f>""</f>
        <v/>
      </c>
      <c r="V103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38" spans="1:22" x14ac:dyDescent="0.3">
      <c r="A1038" t="str">
        <f>"Affidamento"</f>
        <v>Affidamento</v>
      </c>
      <c r="B1038" t="str">
        <f>"Effettuazione del prelievo ed analisi chimiche su campioni di sedimento e terreno."</f>
        <v>Effettuazione del prelievo ed analisi chimiche su campioni di sedimento e terreno.</v>
      </c>
      <c r="C1038" t="str">
        <f>"Z9A1A5316B"</f>
        <v>Z9A1A5316B</v>
      </c>
      <c r="D1038" t="str">
        <f>"04/11/2021"</f>
        <v>04/11/2021</v>
      </c>
      <c r="E1038" t="str">
        <f>""</f>
        <v/>
      </c>
      <c r="F1038" t="str">
        <f>""</f>
        <v/>
      </c>
      <c r="G1038" t="str">
        <f>"1680.00"</f>
        <v>1680.00</v>
      </c>
      <c r="H1038" t="str">
        <f>"Consorzio di bonifica Bacchiglione"</f>
        <v>Consorzio di bonifica Bacchiglione</v>
      </c>
      <c r="I1038" t="str">
        <f>"92223390284"</f>
        <v>92223390284</v>
      </c>
      <c r="J1038" t="str">
        <f>"23-AFFIDAMENTO DIRETTO"</f>
        <v>23-AFFIDAMENTO DIRETTO</v>
      </c>
      <c r="K1038" t="str">
        <f>"17/06/2021"</f>
        <v>17/06/2021</v>
      </c>
      <c r="L1038" t="str">
        <f>"30/09/2021"</f>
        <v>30/09/2021</v>
      </c>
      <c r="M1038" t="str">
        <f>""</f>
        <v/>
      </c>
      <c r="N1038" t="str">
        <f>"Innovazione Chimica s.r.l."</f>
        <v>Innovazione Chimica s.r.l.</v>
      </c>
      <c r="O1038" t="str">
        <f>"Innovazione Chimica s.r.l."</f>
        <v>Innovazione Chimica s.r.l.</v>
      </c>
      <c r="P1038" t="str">
        <f>"Z9A1A5316B: [1680.00€ ]"</f>
        <v>Z9A1A5316B: [1680.00€ ]</v>
      </c>
      <c r="Q1038" t="str">
        <f>""</f>
        <v/>
      </c>
      <c r="R1038" t="str">
        <f>""</f>
        <v/>
      </c>
      <c r="S1038" t="str">
        <f>""</f>
        <v/>
      </c>
      <c r="T1038" t="str">
        <f>"https://portaletrasparenza.consorziobacchiglione.it/dettagli/attodigara/534/effettuazione-del-prelievo-ed-analisi-chimiche-su-campioni-di-sedimento-e-terreno.html"</f>
        <v>https://portaletrasparenza.consorziobacchiglione.it/dettagli/attodigara/534/effettuazione-del-prelievo-ed-analisi-chimiche-su-campioni-di-sedimento-e-terreno.html</v>
      </c>
      <c r="U1038" t="str">
        <f>""</f>
        <v/>
      </c>
      <c r="V103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39" spans="1:22" x14ac:dyDescent="0.3">
      <c r="A1039" t="str">
        <f>"Affidamento"</f>
        <v>Affidamento</v>
      </c>
      <c r="B1039" t="str">
        <f>"Fornitura materiale vario per l'anno 2021 presso Bacino Sesta Presa"</f>
        <v>Fornitura materiale vario per l'anno 2021 presso Bacino Sesta Presa</v>
      </c>
      <c r="C1039" t="str">
        <f>"Z12322970F"</f>
        <v>Z12322970F</v>
      </c>
      <c r="D1039" t="str">
        <f>"18/06/2021"</f>
        <v>18/06/2021</v>
      </c>
      <c r="E1039" t="str">
        <f>""</f>
        <v/>
      </c>
      <c r="F1039" t="str">
        <f>""</f>
        <v/>
      </c>
      <c r="G1039" t="str">
        <f>"20000.00"</f>
        <v>20000.00</v>
      </c>
      <c r="H1039" t="str">
        <f>"Consorzio di bonifica Bacchiglione"</f>
        <v>Consorzio di bonifica Bacchiglione</v>
      </c>
      <c r="I1039" t="str">
        <f>"92223390284"</f>
        <v>92223390284</v>
      </c>
      <c r="J1039" t="str">
        <f>"23-AFFIDAMENTO DIRETTO"</f>
        <v>23-AFFIDAMENTO DIRETTO</v>
      </c>
      <c r="K1039" t="str">
        <f>"17/06/2021"</f>
        <v>17/06/2021</v>
      </c>
      <c r="L1039" t="str">
        <f>"30/09/2022"</f>
        <v>30/09/2022</v>
      </c>
      <c r="M1039" t="str">
        <f>""</f>
        <v/>
      </c>
      <c r="N1039" t="str">
        <f>"Arcolin Edilizia S.a.s di Arcolin Andrea , Baretta Maria E C. Via Valletta 4 a-b - 30010 Cantarana di Cona VE"</f>
        <v>Arcolin Edilizia S.a.s di Arcolin Andrea , Baretta Maria E C. Via Valletta 4 a-b - 30010 Cantarana di Cona VE</v>
      </c>
      <c r="O1039" t="str">
        <f>"Arcolin Edilizia S.a.s di Arcolin Andrea , Baretta Maria E C. Via Valletta 4 a-b - 30010 Cantarana di Cona VE"</f>
        <v>Arcolin Edilizia S.a.s di Arcolin Andrea , Baretta Maria E C. Via Valletta 4 a-b - 30010 Cantarana di Cona VE</v>
      </c>
      <c r="P1039" t="s">
        <v>281</v>
      </c>
      <c r="Q1039" t="str">
        <f>""</f>
        <v/>
      </c>
      <c r="R1039" t="str">
        <f>""</f>
        <v/>
      </c>
      <c r="S1039" t="str">
        <f>""</f>
        <v/>
      </c>
      <c r="T1039" t="str">
        <f>"https://portaletrasparenza.consorziobacchiglione.it/dettagli/attodigara/6959/fornitura-materiale-vario-per-l-anno-2021-presso-bacino-sesta-presa.html"</f>
        <v>https://portaletrasparenza.consorziobacchiglione.it/dettagli/attodigara/6959/fornitura-materiale-vario-per-l-anno-2021-presso-bacino-sesta-presa.html</v>
      </c>
      <c r="U1039" t="str">
        <f>"https://portaletrasparenza.consorziobacchiglione.it/download/attodigara/6959/63ac459d9db7f.PDF"</f>
        <v>https://portaletrasparenza.consorziobacchiglione.it/download/attodigara/6959/63ac459d9db7f.PDF</v>
      </c>
      <c r="V10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40" spans="1:22" x14ac:dyDescent="0.3">
      <c r="A1040" t="str">
        <f>"Affidamento"</f>
        <v>Affidamento</v>
      </c>
      <c r="B1040" t="str">
        <f>"Fornitura ricambi per decespugliatore Stihl"</f>
        <v>Fornitura ricambi per decespugliatore Stihl</v>
      </c>
      <c r="C1040" t="str">
        <f>"Z4A322AA13"</f>
        <v>Z4A322AA13</v>
      </c>
      <c r="D1040" t="str">
        <f>"18/06/2021"</f>
        <v>18/06/2021</v>
      </c>
      <c r="E1040" t="str">
        <f>""</f>
        <v/>
      </c>
      <c r="F1040" t="str">
        <f>""</f>
        <v/>
      </c>
      <c r="G1040" t="str">
        <f>"65.57"</f>
        <v>65.57</v>
      </c>
      <c r="H1040" t="str">
        <f>"Consorzio di bonifica Bacchiglione"</f>
        <v>Consorzio di bonifica Bacchiglione</v>
      </c>
      <c r="I1040" t="str">
        <f>"92223390284"</f>
        <v>92223390284</v>
      </c>
      <c r="J1040" t="str">
        <f>"23-AFFIDAMENTO DIRETTO"</f>
        <v>23-AFFIDAMENTO DIRETTO</v>
      </c>
      <c r="K1040" t="str">
        <f>"17/06/2021"</f>
        <v>17/06/2021</v>
      </c>
      <c r="L1040" t="str">
        <f>"07/07/2021"</f>
        <v>07/07/2021</v>
      </c>
      <c r="M1040" t="str">
        <f>""</f>
        <v/>
      </c>
      <c r="N1040" t="str">
        <f>"Mini Motor di Vettorato Gabriele Via Puccini 3 35020 Brugine PD"</f>
        <v>Mini Motor di Vettorato Gabriele Via Puccini 3 35020 Brugine PD</v>
      </c>
      <c r="O1040" t="str">
        <f>"Mini Motor di Vettorato Gabriele Via Puccini 3 35020 Brugine PD"</f>
        <v>Mini Motor di Vettorato Gabriele Via Puccini 3 35020 Brugine PD</v>
      </c>
      <c r="P1040" t="str">
        <f>"Z4A322AA13: [65.57€ ]"</f>
        <v>Z4A322AA13: [65.57€ ]</v>
      </c>
      <c r="Q1040" t="str">
        <f>""</f>
        <v/>
      </c>
      <c r="R1040" t="str">
        <f>""</f>
        <v/>
      </c>
      <c r="S1040" t="str">
        <f>""</f>
        <v/>
      </c>
      <c r="T1040" t="str">
        <f>"https://portaletrasparenza.consorziobacchiglione.it/dettagli/attodigara/6960/fornitura-ricambi-per-decespugliatore-stihl.html"</f>
        <v>https://portaletrasparenza.consorziobacchiglione.it/dettagli/attodigara/6960/fornitura-ricambi-per-decespugliatore-stihl.html</v>
      </c>
      <c r="U1040" t="str">
        <f>"https://portaletrasparenza.consorziobacchiglione.it/download/attodigara/6960/63ac459de1d4f.PDF"</f>
        <v>https://portaletrasparenza.consorziobacchiglione.it/download/attodigara/6960/63ac459de1d4f.PDF</v>
      </c>
      <c r="V10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41" spans="1:22" x14ac:dyDescent="0.3">
      <c r="A1041" t="str">
        <f>"Affidamento"</f>
        <v>Affidamento</v>
      </c>
      <c r="B1041" t="str">
        <f>"Fornitura n.1 scarpa Bond e n.1 pantalone Cyclone per personale di campagna"</f>
        <v>Fornitura n.1 scarpa Bond e n.1 pantalone Cyclone per personale di campagna</v>
      </c>
      <c r="C1041" t="str">
        <f>"Z223228CAA"</f>
        <v>Z223228CAA</v>
      </c>
      <c r="D1041" t="str">
        <f>"18/06/2021"</f>
        <v>18/06/2021</v>
      </c>
      <c r="E1041" t="str">
        <f>""</f>
        <v/>
      </c>
      <c r="F1041" t="str">
        <f>""</f>
        <v/>
      </c>
      <c r="G1041" t="str">
        <f>"86.00"</f>
        <v>86.00</v>
      </c>
      <c r="H1041" t="str">
        <f>"Consorzio di bonifica Bacchiglione"</f>
        <v>Consorzio di bonifica Bacchiglione</v>
      </c>
      <c r="I1041" t="str">
        <f>"92223390284"</f>
        <v>92223390284</v>
      </c>
      <c r="J1041" t="str">
        <f>"23-AFFIDAMENTO DIRETTO"</f>
        <v>23-AFFIDAMENTO DIRETTO</v>
      </c>
      <c r="K1041" t="str">
        <f>"17/06/2021"</f>
        <v>17/06/2021</v>
      </c>
      <c r="L1041" t="str">
        <f>"15/07/2021"</f>
        <v>15/07/2021</v>
      </c>
      <c r="M1041" t="str">
        <f>""</f>
        <v/>
      </c>
      <c r="N1041" t="str">
        <f>"Chinello antinfortunistica via Padana 34 Z.I. Vigorovea di S.Angelo di Piove di Sacco PD"</f>
        <v>Chinello antinfortunistica via Padana 34 Z.I. Vigorovea di S.Angelo di Piove di Sacco PD</v>
      </c>
      <c r="O1041" t="str">
        <f>"Chinello antinfortunistica via Padana 34 Z.I. Vigorovea di S.Angelo di Piove di Sacco PD"</f>
        <v>Chinello antinfortunistica via Padana 34 Z.I. Vigorovea di S.Angelo di Piove di Sacco PD</v>
      </c>
      <c r="P1041" t="str">
        <f>"Z223228CAA: [86.00€ ]"</f>
        <v>Z223228CAA: [86.00€ ]</v>
      </c>
      <c r="Q1041" t="str">
        <f>""</f>
        <v/>
      </c>
      <c r="R1041" t="str">
        <f>""</f>
        <v/>
      </c>
      <c r="S1041" t="str">
        <f>""</f>
        <v/>
      </c>
      <c r="T1041" t="str">
        <f>"https://portaletrasparenza.consorziobacchiglione.it/dettagli/attodigara/6958/fornitura-n-1-scarpa-bond-e-n-1-pantalone-cyclone-per-personale-di-campagna.html"</f>
        <v>https://portaletrasparenza.consorziobacchiglione.it/dettagli/attodigara/6958/fornitura-n-1-scarpa-bond-e-n-1-pantalone-cyclone-per-personale-di-campagna.html</v>
      </c>
      <c r="U1041" t="str">
        <f>"https://portaletrasparenza.consorziobacchiglione.it/download/attodigara/6958/63ac459d64a26.PDF"</f>
        <v>https://portaletrasparenza.consorziobacchiglione.it/download/attodigara/6958/63ac459d64a26.PDF</v>
      </c>
      <c r="V104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42" spans="1:22" x14ac:dyDescent="0.3">
      <c r="A1042" t="str">
        <f>"Affidamento"</f>
        <v>Affidamento</v>
      </c>
      <c r="B1042" t="str">
        <f>"Fornitura n. 4 estintori ABC KG. 6 per vari impianti"</f>
        <v>Fornitura n. 4 estintori ABC KG. 6 per vari impianti</v>
      </c>
      <c r="C1042" t="str">
        <f>"Z713228A6D"</f>
        <v>Z713228A6D</v>
      </c>
      <c r="D1042" t="str">
        <f>"18/06/2021"</f>
        <v>18/06/2021</v>
      </c>
      <c r="E1042" t="str">
        <f>""</f>
        <v/>
      </c>
      <c r="F1042" t="str">
        <f>""</f>
        <v/>
      </c>
      <c r="G1042" t="str">
        <f>"103.68"</f>
        <v>103.68</v>
      </c>
      <c r="H1042" t="str">
        <f>"Consorzio di bonifica Bacchiglione"</f>
        <v>Consorzio di bonifica Bacchiglione</v>
      </c>
      <c r="I1042" t="str">
        <f>"92223390284"</f>
        <v>92223390284</v>
      </c>
      <c r="J1042" t="str">
        <f>"23-AFFIDAMENTO DIRETTO"</f>
        <v>23-AFFIDAMENTO DIRETTO</v>
      </c>
      <c r="K1042" t="str">
        <f>"17/06/2021"</f>
        <v>17/06/2021</v>
      </c>
      <c r="L1042" t="str">
        <f>"13/07/2021"</f>
        <v>13/07/2021</v>
      </c>
      <c r="M1042" t="str">
        <f>""</f>
        <v/>
      </c>
      <c r="N1042" t="str">
        <f>"Bergamaschi Antincendi Antinfortunistica Padova s.r.l. Via G. Galilei 2-I 35030 Caselle di Selvazzano PD"</f>
        <v>Bergamaschi Antincendi Antinfortunistica Padova s.r.l. Via G. Galilei 2-I 35030 Caselle di Selvazzano PD</v>
      </c>
      <c r="O1042" t="str">
        <f>"Bergamaschi Antincendi Antinfortunistica Padova s.r.l. Via G. Galilei 2-I 35030 Caselle di Selvazzano PD"</f>
        <v>Bergamaschi Antincendi Antinfortunistica Padova s.r.l. Via G. Galilei 2-I 35030 Caselle di Selvazzano PD</v>
      </c>
      <c r="P1042" t="str">
        <f>"Z713228A6D: [103.68€ ]"</f>
        <v>Z713228A6D: [103.68€ ]</v>
      </c>
      <c r="Q1042" t="str">
        <f>""</f>
        <v/>
      </c>
      <c r="R1042" t="str">
        <f>""</f>
        <v/>
      </c>
      <c r="S1042" t="str">
        <f>""</f>
        <v/>
      </c>
      <c r="T1042" t="str">
        <f>"https://portaletrasparenza.consorziobacchiglione.it/dettagli/attodigara/6957/fornitura-n-4-estintori-abc-kg-6-per-vari-impianti.html"</f>
        <v>https://portaletrasparenza.consorziobacchiglione.it/dettagli/attodigara/6957/fornitura-n-4-estintori-abc-kg-6-per-vari-impianti.html</v>
      </c>
      <c r="U1042" t="str">
        <f>"https://portaletrasparenza.consorziobacchiglione.it/download/attodigara/6957/63ac459d2c1c8.PDF"</f>
        <v>https://portaletrasparenza.consorziobacchiglione.it/download/attodigara/6957/63ac459d2c1c8.PDF</v>
      </c>
      <c r="V10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43" spans="1:22" x14ac:dyDescent="0.3">
      <c r="A1043" t="str">
        <f>"Affidamento"</f>
        <v>Affidamento</v>
      </c>
      <c r="B1043" t="str">
        <f>"Fornitura nuova batteria per pc Fujitsu LB AH530 per personale ufficio impianti"</f>
        <v>Fornitura nuova batteria per pc Fujitsu LB AH530 per personale ufficio impianti</v>
      </c>
      <c r="C1043" t="str">
        <f>"Z0D32287FC"</f>
        <v>Z0D32287FC</v>
      </c>
      <c r="D1043" t="str">
        <f>"18/06/2021"</f>
        <v>18/06/2021</v>
      </c>
      <c r="E1043" t="str">
        <f>""</f>
        <v/>
      </c>
      <c r="F1043" t="str">
        <f>""</f>
        <v/>
      </c>
      <c r="G1043" t="str">
        <f>"42.00"</f>
        <v>42.00</v>
      </c>
      <c r="H1043" t="str">
        <f>"Consorzio di bonifica Bacchiglione"</f>
        <v>Consorzio di bonifica Bacchiglione</v>
      </c>
      <c r="I1043" t="str">
        <f>"92223390284"</f>
        <v>92223390284</v>
      </c>
      <c r="J1043" t="str">
        <f>"23-AFFIDAMENTO DIRETTO"</f>
        <v>23-AFFIDAMENTO DIRETTO</v>
      </c>
      <c r="K1043" t="str">
        <f>"17/06/2021"</f>
        <v>17/06/2021</v>
      </c>
      <c r="L1043" t="str">
        <f>"13/09/2021"</f>
        <v>13/09/2021</v>
      </c>
      <c r="M1043" t="str">
        <f>""</f>
        <v/>
      </c>
      <c r="N1043" t="str">
        <f>"TPH Elettronica s.a.s. Via N. Pizzolo 51A 35132 Padova"</f>
        <v>TPH Elettronica s.a.s. Via N. Pizzolo 51A 35132 Padova</v>
      </c>
      <c r="O1043" t="str">
        <f>"TPH Elettronica s.a.s. Via N. Pizzolo 51A 35132 Padova"</f>
        <v>TPH Elettronica s.a.s. Via N. Pizzolo 51A 35132 Padova</v>
      </c>
      <c r="P1043" t="str">
        <f>"Z0D32287FC: [42.00€ ]"</f>
        <v>Z0D32287FC: [42.00€ ]</v>
      </c>
      <c r="Q1043" t="str">
        <f>""</f>
        <v/>
      </c>
      <c r="R1043" t="str">
        <f>""</f>
        <v/>
      </c>
      <c r="S1043" t="str">
        <f>""</f>
        <v/>
      </c>
      <c r="T1043" t="str">
        <f>"https://portaletrasparenza.consorziobacchiglione.it/dettagli/attodigara/6956/fornitura-nuova-batteria-per-pc-fujitsu-lb-ah530-per-personale-ufficio-impianti.html"</f>
        <v>https://portaletrasparenza.consorziobacchiglione.it/dettagli/attodigara/6956/fornitura-nuova-batteria-per-pc-fujitsu-lb-ah530-per-personale-ufficio-impianti.html</v>
      </c>
      <c r="U1043" t="str">
        <f>"https://portaletrasparenza.consorziobacchiglione.it/download/attodigara/6956/63ac459ce7b25.PDF"</f>
        <v>https://portaletrasparenza.consorziobacchiglione.it/download/attodigara/6956/63ac459ce7b25.PDF</v>
      </c>
      <c r="V104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44" spans="1:22" x14ac:dyDescent="0.3">
      <c r="A1044" t="str">
        <f>"Affidamento"</f>
        <v>Affidamento</v>
      </c>
      <c r="B1044" t="str">
        <f>"Rinnovo abbonamento al portale Staffetta Quotidiana versione online più Staffetta Prezzi online per l'anno 2021/2022"</f>
        <v>Rinnovo abbonamento al portale Staffetta Quotidiana versione online più Staffetta Prezzi online per l'anno 2021/2022</v>
      </c>
      <c r="C1044" t="str">
        <f>"ZC932283C0"</f>
        <v>ZC932283C0</v>
      </c>
      <c r="D1044" t="str">
        <f>"18/06/2021"</f>
        <v>18/06/2021</v>
      </c>
      <c r="E1044" t="str">
        <f>""</f>
        <v/>
      </c>
      <c r="F1044" t="str">
        <f>""</f>
        <v/>
      </c>
      <c r="G1044" t="str">
        <f>"1100.00"</f>
        <v>1100.00</v>
      </c>
      <c r="H1044" t="str">
        <f>"Consorzio di bonifica Bacchiglione"</f>
        <v>Consorzio di bonifica Bacchiglione</v>
      </c>
      <c r="I1044" t="str">
        <f>"92223390284"</f>
        <v>92223390284</v>
      </c>
      <c r="J1044" t="str">
        <f>"23-AFFIDAMENTO DIRETTO"</f>
        <v>23-AFFIDAMENTO DIRETTO</v>
      </c>
      <c r="K1044" t="str">
        <f>"17/06/2021"</f>
        <v>17/06/2021</v>
      </c>
      <c r="L1044" t="str">
        <f>"30/06/2021"</f>
        <v>30/06/2021</v>
      </c>
      <c r="M1044" t="str">
        <f>""</f>
        <v/>
      </c>
      <c r="N1044" t="str">
        <f>"Staffetta Quotidiana - Rip Rivista Italiana Petrolio SRL Via Aventina, 19 - 00153 Roma"</f>
        <v>Staffetta Quotidiana - Rip Rivista Italiana Petrolio SRL Via Aventina, 19 - 00153 Roma</v>
      </c>
      <c r="O1044" t="str">
        <f>"Staffetta Quotidiana - Rip Rivista Italiana Petrolio SRL Via Aventina, 19 - 00153 Roma"</f>
        <v>Staffetta Quotidiana - Rip Rivista Italiana Petrolio SRL Via Aventina, 19 - 00153 Roma</v>
      </c>
      <c r="P1044" t="str">
        <f>"ZC932283C0: [1100.00€ ]"</f>
        <v>ZC932283C0: [1100.00€ ]</v>
      </c>
      <c r="Q1044" t="str">
        <f>""</f>
        <v/>
      </c>
      <c r="R1044" t="str">
        <f>""</f>
        <v/>
      </c>
      <c r="S1044" t="str">
        <f>""</f>
        <v/>
      </c>
      <c r="T1044" t="str">
        <f>"https://portaletrasparenza.consorziobacchiglione.it/dettagli/attodigara/6955/rinnovo-abbonamento-al-portale-staffetta-quotidiana-versione-online-piu-staffetta-prezzi-online-per-l-anno-2021-2022.html"</f>
        <v>https://portaletrasparenza.consorziobacchiglione.it/dettagli/attodigara/6955/rinnovo-abbonamento-al-portale-staffetta-quotidiana-versione-online-piu-staffetta-prezzi-online-per-l-anno-2021-2022.html</v>
      </c>
      <c r="U1044" t="str">
        <f>"https://portaletrasparenza.consorziobacchiglione.it/download/attodigara/6955/63ac459caf068.PDF"</f>
        <v>https://portaletrasparenza.consorziobacchiglione.it/download/attodigara/6955/63ac459caf068.PDF</v>
      </c>
      <c r="V104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45" spans="1:22" x14ac:dyDescent="0.3">
      <c r="A1045" t="str">
        <f>"Affidamento"</f>
        <v>Affidamento</v>
      </c>
      <c r="B1045" t="str">
        <f>"Igienizzazione impianti di climatizzazione Sede Consorziale e Uff.S.Margherita da eseguirsi nel mese di Agosto"</f>
        <v>Igienizzazione impianti di climatizzazione Sede Consorziale e Uff.S.Margherita da eseguirsi nel mese di Agosto</v>
      </c>
      <c r="C1045" t="str">
        <f>"Z72322761B"</f>
        <v>Z72322761B</v>
      </c>
      <c r="D1045" t="str">
        <f>"18/06/2021"</f>
        <v>18/06/2021</v>
      </c>
      <c r="E1045" t="str">
        <f>""</f>
        <v/>
      </c>
      <c r="F1045" t="str">
        <f>""</f>
        <v/>
      </c>
      <c r="G1045" t="str">
        <f>"635.00"</f>
        <v>635.00</v>
      </c>
      <c r="H1045" t="str">
        <f>"Consorzio di bonifica Bacchiglione"</f>
        <v>Consorzio di bonifica Bacchiglione</v>
      </c>
      <c r="I1045" t="str">
        <f>"92223390284"</f>
        <v>92223390284</v>
      </c>
      <c r="J1045" t="str">
        <f>"23-AFFIDAMENTO DIRETTO"</f>
        <v>23-AFFIDAMENTO DIRETTO</v>
      </c>
      <c r="K1045" t="str">
        <f>"17/06/2021"</f>
        <v>17/06/2021</v>
      </c>
      <c r="L1045" t="str">
        <f>"30/08/2021"</f>
        <v>30/08/2021</v>
      </c>
      <c r="M1045" t="str">
        <f>""</f>
        <v/>
      </c>
      <c r="N1045" t="str">
        <f>"Giraldo Impianti SNC di Giraldo Danilo e Silvio Via Flli Cervi 1-II 30010 Campolongo Maggiore VE"</f>
        <v>Giraldo Impianti SNC di Giraldo Danilo e Silvio Via Flli Cervi 1-II 30010 Campolongo Maggiore VE</v>
      </c>
      <c r="O1045" t="str">
        <f>"Giraldo Impianti SNC di Giraldo Danilo e Silvio Via Flli Cervi 1-II 30010 Campolongo Maggiore VE"</f>
        <v>Giraldo Impianti SNC di Giraldo Danilo e Silvio Via Flli Cervi 1-II 30010 Campolongo Maggiore VE</v>
      </c>
      <c r="P1045" t="str">
        <f>"Z72322761B: [635.00€ ]"</f>
        <v>Z72322761B: [635.00€ ]</v>
      </c>
      <c r="Q1045" t="str">
        <f>""</f>
        <v/>
      </c>
      <c r="R1045" t="str">
        <f>""</f>
        <v/>
      </c>
      <c r="S1045" t="str">
        <f>""</f>
        <v/>
      </c>
      <c r="T1045" t="str">
        <f>"https://portaletrasparenza.consorziobacchiglione.it/dettagli/attodigara/6954/igienizzazione-impianti-di-climatizzazione-sede-consorziale-e-uff-s-margherita-da-eseguirsi-nel-mese-di-agosto.html"</f>
        <v>https://portaletrasparenza.consorziobacchiglione.it/dettagli/attodigara/6954/igienizzazione-impianti-di-climatizzazione-sede-consorziale-e-uff-s-margherita-da-eseguirsi-nel-mese-di-agosto.html</v>
      </c>
      <c r="U1045" t="str">
        <f>"https://portaletrasparenza.consorziobacchiglione.it/download/attodigara/6954/63ac459c763ee.PDF"</f>
        <v>https://portaletrasparenza.consorziobacchiglione.it/download/attodigara/6954/63ac459c763ee.PDF</v>
      </c>
      <c r="V104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46" spans="1:22" x14ac:dyDescent="0.3">
      <c r="A1046" t="str">
        <f>"Affidamento"</f>
        <v>Affidamento</v>
      </c>
      <c r="B1046" t="str">
        <f>"Igienizzazione impianti di climatizzazione Sede Consorziale , Uff.S.Margherita e vari impianti"</f>
        <v>Igienizzazione impianti di climatizzazione Sede Consorziale , Uff.S.Margherita e vari impianti</v>
      </c>
      <c r="C1046" t="str">
        <f>"Z9932274DA"</f>
        <v>Z9932274DA</v>
      </c>
      <c r="D1046" t="str">
        <f>"18/06/2021"</f>
        <v>18/06/2021</v>
      </c>
      <c r="E1046" t="str">
        <f>""</f>
        <v/>
      </c>
      <c r="F1046" t="str">
        <f>""</f>
        <v/>
      </c>
      <c r="G1046" t="str">
        <f>"2810.00"</f>
        <v>2810.00</v>
      </c>
      <c r="H1046" t="str">
        <f>"Consorzio di bonifica Bacchiglione"</f>
        <v>Consorzio di bonifica Bacchiglione</v>
      </c>
      <c r="I1046" t="str">
        <f>"92223390284"</f>
        <v>92223390284</v>
      </c>
      <c r="J1046" t="str">
        <f>"23-AFFIDAMENTO DIRETTO"</f>
        <v>23-AFFIDAMENTO DIRETTO</v>
      </c>
      <c r="K1046" t="str">
        <f>"17/06/2021"</f>
        <v>17/06/2021</v>
      </c>
      <c r="L1046" t="str">
        <f>"09/07/2021"</f>
        <v>09/07/2021</v>
      </c>
      <c r="M1046" t="str">
        <f>""</f>
        <v/>
      </c>
      <c r="N1046" t="str">
        <f>"Giraldo Impianti SNC di Giraldo Danilo e Silvio Via Flli Cervi 1-II 30010 Campolongo Maggiore VE"</f>
        <v>Giraldo Impianti SNC di Giraldo Danilo e Silvio Via Flli Cervi 1-II 30010 Campolongo Maggiore VE</v>
      </c>
      <c r="O1046" t="str">
        <f>"Giraldo Impianti SNC di Giraldo Danilo e Silvio Via Flli Cervi 1-II 30010 Campolongo Maggiore VE"</f>
        <v>Giraldo Impianti SNC di Giraldo Danilo e Silvio Via Flli Cervi 1-II 30010 Campolongo Maggiore VE</v>
      </c>
      <c r="P1046" t="str">
        <f>"Z9932274DA: [2810.00€ ]"</f>
        <v>Z9932274DA: [2810.00€ ]</v>
      </c>
      <c r="Q1046" t="str">
        <f>""</f>
        <v/>
      </c>
      <c r="R1046" t="str">
        <f>""</f>
        <v/>
      </c>
      <c r="S1046" t="str">
        <f>""</f>
        <v/>
      </c>
      <c r="T1046" t="str">
        <f>"https://portaletrasparenza.consorziobacchiglione.it/dettagli/attodigara/6953/igienizzazione-impianti-di-climatizzazione-sede-consorziale-uff-s-margherita-e-vari-impianti.html"</f>
        <v>https://portaletrasparenza.consorziobacchiglione.it/dettagli/attodigara/6953/igienizzazione-impianti-di-climatizzazione-sede-consorziale-uff-s-margherita-e-vari-impianti.html</v>
      </c>
      <c r="U1046" t="str">
        <f>"https://portaletrasparenza.consorziobacchiglione.it/download/attodigara/6953/63ac459c3d8d1.PDF"</f>
        <v>https://portaletrasparenza.consorziobacchiglione.it/download/attodigara/6953/63ac459c3d8d1.PDF</v>
      </c>
      <c r="V10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47" spans="1:22" x14ac:dyDescent="0.3">
      <c r="A1047" t="str">
        <f>"Affidamento"</f>
        <v>Affidamento</v>
      </c>
      <c r="B1047" t="str">
        <f>"Fornitura n.2 licenze Adobe Acrobat Pro per uff. Progettazione"</f>
        <v>Fornitura n.2 licenze Adobe Acrobat Pro per uff. Progettazione</v>
      </c>
      <c r="C1047" t="str">
        <f>"Z92322682E"</f>
        <v>Z92322682E</v>
      </c>
      <c r="D1047" t="str">
        <f>"18/06/2021"</f>
        <v>18/06/2021</v>
      </c>
      <c r="E1047" t="str">
        <f>""</f>
        <v/>
      </c>
      <c r="F1047" t="str">
        <f>""</f>
        <v/>
      </c>
      <c r="G1047" t="str">
        <f>"1192.00"</f>
        <v>1192.00</v>
      </c>
      <c r="H1047" t="str">
        <f>"Consorzio di bonifica Bacchiglione"</f>
        <v>Consorzio di bonifica Bacchiglione</v>
      </c>
      <c r="I1047" t="str">
        <f>"92223390284"</f>
        <v>92223390284</v>
      </c>
      <c r="J1047" t="str">
        <f>"23-AFFIDAMENTO DIRETTO"</f>
        <v>23-AFFIDAMENTO DIRETTO</v>
      </c>
      <c r="K1047" t="str">
        <f>"17/06/2021"</f>
        <v>17/06/2021</v>
      </c>
      <c r="L1047" t="str">
        <f>"02/08/2021"</f>
        <v>02/08/2021</v>
      </c>
      <c r="M1047" t="str">
        <f>""</f>
        <v/>
      </c>
      <c r="N1047" t="str">
        <f>"Hard Service S.r.l. Via del Progresso, 2 35010 Peraga di Vigonza (PD)"</f>
        <v>Hard Service S.r.l. Via del Progresso, 2 35010 Peraga di Vigonza (PD)</v>
      </c>
      <c r="O1047" t="str">
        <f>"Hard Service S.r.l. Via del Progresso, 2 35010 Peraga di Vigonza (PD)"</f>
        <v>Hard Service S.r.l. Via del Progresso, 2 35010 Peraga di Vigonza (PD)</v>
      </c>
      <c r="P1047" t="str">
        <f>"Z92322682E: [1192.00€ ]"</f>
        <v>Z92322682E: [1192.00€ ]</v>
      </c>
      <c r="Q1047" t="str">
        <f>""</f>
        <v/>
      </c>
      <c r="R1047" t="str">
        <f>""</f>
        <v/>
      </c>
      <c r="S1047" t="str">
        <f>""</f>
        <v/>
      </c>
      <c r="T1047" t="str">
        <f>"https://portaletrasparenza.consorziobacchiglione.it/dettagli/attodigara/6952/fornitura-n-2-licenze-adobe-acrobat-pro-per-uff-progettazione.html"</f>
        <v>https://portaletrasparenza.consorziobacchiglione.it/dettagli/attodigara/6952/fornitura-n-2-licenze-adobe-acrobat-pro-per-uff-progettazione.html</v>
      </c>
      <c r="U1047" t="str">
        <f>"https://portaletrasparenza.consorziobacchiglione.it/download/attodigara/6952/63ac459c04ba5.PDF"</f>
        <v>https://portaletrasparenza.consorziobacchiglione.it/download/attodigara/6952/63ac459c04ba5.PDF</v>
      </c>
      <c r="V104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48" spans="1:22" x14ac:dyDescent="0.3">
      <c r="A1048" t="str">
        <f>"Affidamento"</f>
        <v>Affidamento</v>
      </c>
      <c r="B1048" t="str">
        <f>"Aggiornamento annuale della piattaforma di negoziazione telematca."</f>
        <v>Aggiornamento annuale della piattaforma di negoziazione telematca.</v>
      </c>
      <c r="C1048" t="str">
        <f>"ZEC3314039"</f>
        <v>ZEC3314039</v>
      </c>
      <c r="D1048" t="str">
        <f>"17/09/2021"</f>
        <v>17/09/2021</v>
      </c>
      <c r="E1048" t="str">
        <f>""</f>
        <v/>
      </c>
      <c r="F1048" t="str">
        <f>""</f>
        <v/>
      </c>
      <c r="G1048" t="str">
        <f>"350.00"</f>
        <v>350.00</v>
      </c>
      <c r="H1048" t="str">
        <f>"Consorzio di bonifica Bacchiglione"</f>
        <v>Consorzio di bonifica Bacchiglione</v>
      </c>
      <c r="I1048" t="str">
        <f>"92223390284"</f>
        <v>92223390284</v>
      </c>
      <c r="J1048" t="str">
        <f>"23-AFFIDAMENTO DIRETTO"</f>
        <v>23-AFFIDAMENTO DIRETTO</v>
      </c>
      <c r="K1048" t="str">
        <f>"17/09/2021"</f>
        <v>17/09/2021</v>
      </c>
      <c r="L1048" t="str">
        <f>"06/12/2021"</f>
        <v>06/12/2021</v>
      </c>
      <c r="M1048" t="str">
        <f>""</f>
        <v/>
      </c>
      <c r="N1048" t="str">
        <f>"MAGGIOLI S.P.A."</f>
        <v>MAGGIOLI S.P.A.</v>
      </c>
      <c r="O1048" t="str">
        <f>"MAGGIOLI S.P.A."</f>
        <v>MAGGIOLI S.P.A.</v>
      </c>
      <c r="P1048" t="s">
        <v>283</v>
      </c>
      <c r="Q1048" t="str">
        <f>""</f>
        <v/>
      </c>
      <c r="R1048" t="str">
        <f>""</f>
        <v/>
      </c>
      <c r="S1048" t="str">
        <f>""</f>
        <v/>
      </c>
      <c r="T1048" t="str">
        <f>"https://portaletrasparenza.consorziobacchiglione.it/dettagli/attodigara/7145/aggiornamento-annuale-della-piattaforma-di-negoziazione-telematca.html"</f>
        <v>https://portaletrasparenza.consorziobacchiglione.it/dettagli/attodigara/7145/aggiornamento-annuale-della-piattaforma-di-negoziazione-telematca.html</v>
      </c>
      <c r="U1048" t="str">
        <f>"https://portaletrasparenza.consorziobacchiglione.it/download/attodigara/7145/63ac45c73e01e.PDF"</f>
        <v>https://portaletrasparenza.consorziobacchiglione.it/download/attodigara/7145/63ac45c73e01e.PDF</v>
      </c>
      <c r="V10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49" spans="1:22" x14ac:dyDescent="0.3">
      <c r="A1049" t="str">
        <f>"Affidamento"</f>
        <v>Affidamento</v>
      </c>
      <c r="B1049" t="str">
        <f>"Presentazione al Comando VV.F. di Padova dell'istanza di rinnovo periodico conformità antincendio per gruppo elettrogeno presso Idrovora Ponte di Riva."</f>
        <v>Presentazione al Comando VV.F. di Padova dell'istanza di rinnovo periodico conformità antincendio per gruppo elettrogeno presso Idrovora Ponte di Riva.</v>
      </c>
      <c r="C1049" t="str">
        <f>"Z433316508"</f>
        <v>Z433316508</v>
      </c>
      <c r="D1049" t="str">
        <f>"17/09/2021"</f>
        <v>17/09/2021</v>
      </c>
      <c r="E1049" t="str">
        <f>""</f>
        <v/>
      </c>
      <c r="F1049" t="str">
        <f>""</f>
        <v/>
      </c>
      <c r="G1049" t="str">
        <f>"735.00"</f>
        <v>735.00</v>
      </c>
      <c r="H1049" t="str">
        <f>"Consorzio di bonifica Bacchiglione"</f>
        <v>Consorzio di bonifica Bacchiglione</v>
      </c>
      <c r="I1049" t="str">
        <f>"92223390284"</f>
        <v>92223390284</v>
      </c>
      <c r="J1049" t="str">
        <f>"23-AFFIDAMENTO DIRETTO"</f>
        <v>23-AFFIDAMENTO DIRETTO</v>
      </c>
      <c r="K1049" t="str">
        <f>"17/09/2021"</f>
        <v>17/09/2021</v>
      </c>
      <c r="L1049" t="str">
        <f>"29/09/2021"</f>
        <v>29/09/2021</v>
      </c>
      <c r="M1049" t="str">
        <f>""</f>
        <v/>
      </c>
      <c r="N1049" t="str">
        <f>"Novatecno Studio Associato Via Mazzini 8 36040 Grisignano di Zocco VI"</f>
        <v>Novatecno Studio Associato Via Mazzini 8 36040 Grisignano di Zocco VI</v>
      </c>
      <c r="O1049" t="str">
        <f>"Novatecno Studio Associato Via Mazzini 8 36040 Grisignano di Zocco VI"</f>
        <v>Novatecno Studio Associato Via Mazzini 8 36040 Grisignano di Zocco VI</v>
      </c>
      <c r="P1049" t="str">
        <f>"Z433316508: [735.00€ ]"</f>
        <v>Z433316508: [735.00€ ]</v>
      </c>
      <c r="Q1049" t="str">
        <f>""</f>
        <v/>
      </c>
      <c r="R1049" t="str">
        <f>""</f>
        <v/>
      </c>
      <c r="S1049" t="str">
        <f>""</f>
        <v/>
      </c>
      <c r="T1049" t="str">
        <f>"https://portaletrasparenza.consorziobacchiglione.it/dettagli/attodigara/7146/presentazione-al-comando-vv-f-di-padova-dell-istanza-di-rinnovo-periodico-conformita-antincendio-per-gruppo-elettrogeno-presso-idrovora-ponte-di-riva.html"</f>
        <v>https://portaletrasparenza.consorziobacchiglione.it/dettagli/attodigara/7146/presentazione-al-comando-vv-f-di-padova-dell-istanza-di-rinnovo-periodico-conformita-antincendio-per-gruppo-elettrogeno-presso-idrovora-ponte-di-riva.html</v>
      </c>
      <c r="U1049" t="str">
        <f>"https://portaletrasparenza.consorziobacchiglione.it/download/attodigara/7146/63ac45c70561a.PDF"</f>
        <v>https://portaletrasparenza.consorziobacchiglione.it/download/attodigara/7146/63ac45c70561a.PDF</v>
      </c>
      <c r="V10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50" spans="1:22" x14ac:dyDescent="0.3">
      <c r="A1050" t="str">
        <f>"Affidamento"</f>
        <v>Affidamento</v>
      </c>
      <c r="B1050" t="str">
        <f>"Manutenzione e riparazione mezzo targato: AKA712"</f>
        <v>Manutenzione e riparazione mezzo targato: AKA712</v>
      </c>
      <c r="C1050" t="str">
        <f>"Z7A33170EA"</f>
        <v>Z7A33170EA</v>
      </c>
      <c r="D1050" t="str">
        <f>"21/09/2021"</f>
        <v>21/09/2021</v>
      </c>
      <c r="E1050" t="str">
        <f>""</f>
        <v/>
      </c>
      <c r="F1050" t="str">
        <f>""</f>
        <v/>
      </c>
      <c r="G1050" t="str">
        <f>"1997.61"</f>
        <v>1997.61</v>
      </c>
      <c r="H1050" t="str">
        <f>"Consorzio di bonifica Bacchiglione"</f>
        <v>Consorzio di bonifica Bacchiglione</v>
      </c>
      <c r="I1050" t="str">
        <f>"92223390284"</f>
        <v>92223390284</v>
      </c>
      <c r="J1050" t="str">
        <f>"23-AFFIDAMENTO DIRETTO"</f>
        <v>23-AFFIDAMENTO DIRETTO</v>
      </c>
      <c r="K1050" t="str">
        <f>"17/09/2021"</f>
        <v>17/09/2021</v>
      </c>
      <c r="L1050" t="str">
        <f>"12/10/2021"</f>
        <v>12/10/2021</v>
      </c>
      <c r="M1050" t="str">
        <f>""</f>
        <v/>
      </c>
      <c r="N1050" t="str">
        <f>"Adriatica Commerciale Macchine s.r.l. Via dell'Artigianato 5 35020 Due Carrare PD"</f>
        <v>Adriatica Commerciale Macchine s.r.l. Via dell'Artigianato 5 35020 Due Carrare PD</v>
      </c>
      <c r="O1050" t="str">
        <f>"Adriatica Commerciale Macchine s.r.l. Via dell'Artigianato 5 35020 Due Carrare PD"</f>
        <v>Adriatica Commerciale Macchine s.r.l. Via dell'Artigianato 5 35020 Due Carrare PD</v>
      </c>
      <c r="P1050" t="s">
        <v>217</v>
      </c>
      <c r="Q1050" t="str">
        <f>""</f>
        <v/>
      </c>
      <c r="R1050" t="str">
        <f>""</f>
        <v/>
      </c>
      <c r="S1050" t="str">
        <f>""</f>
        <v/>
      </c>
      <c r="T1050" t="str">
        <f>"https://portaletrasparenza.consorziobacchiglione.it/dettagli/attodigara/7150/manutenzione-e-riparazione-mezzo-targato-aka712.html"</f>
        <v>https://portaletrasparenza.consorziobacchiglione.it/dettagli/attodigara/7150/manutenzione-e-riparazione-mezzo-targato-aka712.html</v>
      </c>
      <c r="U1050" t="str">
        <f>"https://portaletrasparenza.consorziobacchiglione.it/download/attodigara/7150/63ac45c89fb7d.PDF"</f>
        <v>https://portaletrasparenza.consorziobacchiglione.it/download/attodigara/7150/63ac45c89fb7d.PDF</v>
      </c>
      <c r="V105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51" spans="1:22" x14ac:dyDescent="0.3">
      <c r="A1051" t="str">
        <f>"Affidamento"</f>
        <v>Affidamento</v>
      </c>
      <c r="B1051" t="str">
        <f>"Riparazione e manutenzione mezzo con targa: AKS633"</f>
        <v>Riparazione e manutenzione mezzo con targa: AKS633</v>
      </c>
      <c r="C1051" t="str">
        <f>"ZE93316F75"</f>
        <v>ZE93316F75</v>
      </c>
      <c r="D1051" t="str">
        <f>"21/09/2021"</f>
        <v>21/09/2021</v>
      </c>
      <c r="E1051" t="str">
        <f>""</f>
        <v/>
      </c>
      <c r="F1051" t="str">
        <f>""</f>
        <v/>
      </c>
      <c r="G1051" t="str">
        <f>"1795.00"</f>
        <v>1795.00</v>
      </c>
      <c r="H1051" t="str">
        <f>"Consorzio di bonifica Bacchiglione"</f>
        <v>Consorzio di bonifica Bacchiglione</v>
      </c>
      <c r="I1051" t="str">
        <f>"92223390284"</f>
        <v>92223390284</v>
      </c>
      <c r="J1051" t="str">
        <f>"23-AFFIDAMENTO DIRETTO"</f>
        <v>23-AFFIDAMENTO DIRETTO</v>
      </c>
      <c r="K1051" t="str">
        <f>"17/09/2021"</f>
        <v>17/09/2021</v>
      </c>
      <c r="L1051" t="str">
        <f>"29/09/2021"</f>
        <v>29/09/2021</v>
      </c>
      <c r="M1051" t="str">
        <f>""</f>
        <v/>
      </c>
      <c r="N1051" t="str">
        <f>"Autoriparazioni Ravazzolo s.r.l. Via Roma 259a 35030 Montemerlo di Cervarese Santa Croce PD"</f>
        <v>Autoriparazioni Ravazzolo s.r.l. Via Roma 259a 35030 Montemerlo di Cervarese Santa Croce PD</v>
      </c>
      <c r="O1051" t="str">
        <f>"Autoriparazioni Ravazzolo s.r.l. Via Roma 259a 35030 Montemerlo di Cervarese Santa Croce PD"</f>
        <v>Autoriparazioni Ravazzolo s.r.l. Via Roma 259a 35030 Montemerlo di Cervarese Santa Croce PD</v>
      </c>
      <c r="P1051" t="s">
        <v>221</v>
      </c>
      <c r="Q1051" t="str">
        <f>""</f>
        <v/>
      </c>
      <c r="R1051" t="str">
        <f>""</f>
        <v/>
      </c>
      <c r="S1051" t="str">
        <f>""</f>
        <v/>
      </c>
      <c r="T1051" t="str">
        <f>"https://portaletrasparenza.consorziobacchiglione.it/dettagli/attodigara/7149/riparazione-e-manutenzione-mezzo-con-targa-aks633.html"</f>
        <v>https://portaletrasparenza.consorziobacchiglione.it/dettagli/attodigara/7149/riparazione-e-manutenzione-mezzo-con-targa-aks633.html</v>
      </c>
      <c r="U1051" t="str">
        <f>"https://portaletrasparenza.consorziobacchiglione.it/download/attodigara/7149/63ac45c8669df.PDF"</f>
        <v>https://portaletrasparenza.consorziobacchiglione.it/download/attodigara/7149/63ac45c8669df.PDF</v>
      </c>
      <c r="V105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52" spans="1:22" x14ac:dyDescent="0.3">
      <c r="A1052" t="str">
        <f>"Affidamento"</f>
        <v>Affidamento</v>
      </c>
      <c r="B1052" t="str">
        <f>"Revisione periodica dell'attrezzatura di sicurezza in dotazione al personale esterno"</f>
        <v>Revisione periodica dell'attrezzatura di sicurezza in dotazione al personale esterno</v>
      </c>
      <c r="C1052" t="str">
        <f>"Z4B33172F4"</f>
        <v>Z4B33172F4</v>
      </c>
      <c r="D1052" t="str">
        <f>"21/09/2021"</f>
        <v>21/09/2021</v>
      </c>
      <c r="E1052" t="str">
        <f>""</f>
        <v/>
      </c>
      <c r="F1052" t="str">
        <f>""</f>
        <v/>
      </c>
      <c r="G1052" t="str">
        <f>"987.00"</f>
        <v>987.00</v>
      </c>
      <c r="H1052" t="str">
        <f>"Consorzio di bonifica Bacchiglione"</f>
        <v>Consorzio di bonifica Bacchiglione</v>
      </c>
      <c r="I1052" t="str">
        <f>"92223390284"</f>
        <v>92223390284</v>
      </c>
      <c r="J1052" t="str">
        <f>"23-AFFIDAMENTO DIRETTO"</f>
        <v>23-AFFIDAMENTO DIRETTO</v>
      </c>
      <c r="K1052" t="str">
        <f>"17/09/2021"</f>
        <v>17/09/2021</v>
      </c>
      <c r="L1052" t="str">
        <f>"14/10/2021"</f>
        <v>14/10/2021</v>
      </c>
      <c r="M1052" t="str">
        <f>""</f>
        <v/>
      </c>
      <c r="N1052" t="str">
        <f>"Chinello antinfortunistica via Padana 34 Z.I. Vigorovea di S.Angelo di Piove di Sacco PD"</f>
        <v>Chinello antinfortunistica via Padana 34 Z.I. Vigorovea di S.Angelo di Piove di Sacco PD</v>
      </c>
      <c r="O1052" t="str">
        <f>"Chinello antinfortunistica via Padana 34 Z.I. Vigorovea di S.Angelo di Piove di Sacco PD"</f>
        <v>Chinello antinfortunistica via Padana 34 Z.I. Vigorovea di S.Angelo di Piove di Sacco PD</v>
      </c>
      <c r="P1052" t="s">
        <v>239</v>
      </c>
      <c r="Q1052" t="str">
        <f>""</f>
        <v/>
      </c>
      <c r="R1052" t="str">
        <f>""</f>
        <v/>
      </c>
      <c r="S1052" t="str">
        <f>""</f>
        <v/>
      </c>
      <c r="T1052" t="str">
        <f>"https://portaletrasparenza.consorziobacchiglione.it/dettagli/attodigara/7151/revisione-periodica-dell-attrezzatura-di-sicurezza-in-dotazione-al-personale-esterno.html"</f>
        <v>https://portaletrasparenza.consorziobacchiglione.it/dettagli/attodigara/7151/revisione-periodica-dell-attrezzatura-di-sicurezza-in-dotazione-al-personale-esterno.html</v>
      </c>
      <c r="U1052" t="str">
        <f>"https://portaletrasparenza.consorziobacchiglione.it/download/attodigara/7151/63ac45c8d871b.PDF"</f>
        <v>https://portaletrasparenza.consorziobacchiglione.it/download/attodigara/7151/63ac45c8d871b.PDF</v>
      </c>
      <c r="V10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53" spans="1:22" x14ac:dyDescent="0.3">
      <c r="A1053" t="str">
        <f>"Affidamento"</f>
        <v>Affidamento</v>
      </c>
      <c r="B1053" t="str">
        <f>"Sostituzione canalizzazione per riciclo aria raffreddamento e modifica porte esistenti locale presso G.E. Idrovora Saricinesca"</f>
        <v>Sostituzione canalizzazione per riciclo aria raffreddamento e modifica porte esistenti locale presso G.E. Idrovora Saricinesca</v>
      </c>
      <c r="C1053" t="str">
        <f>"Z7E3316B21"</f>
        <v>Z7E3316B21</v>
      </c>
      <c r="D1053" t="str">
        <f>"21/09/2021"</f>
        <v>21/09/2021</v>
      </c>
      <c r="E1053" t="str">
        <f>""</f>
        <v/>
      </c>
      <c r="F1053" t="str">
        <f>""</f>
        <v/>
      </c>
      <c r="G1053" t="str">
        <f>"2500.00"</f>
        <v>2500.00</v>
      </c>
      <c r="H1053" t="str">
        <f>"Consorzio di bonifica Bacchiglione"</f>
        <v>Consorzio di bonifica Bacchiglione</v>
      </c>
      <c r="I1053" t="str">
        <f>"92223390284"</f>
        <v>92223390284</v>
      </c>
      <c r="J1053" t="str">
        <f>"23-AFFIDAMENTO DIRETTO"</f>
        <v>23-AFFIDAMENTO DIRETTO</v>
      </c>
      <c r="K1053" t="str">
        <f>"17/09/2021"</f>
        <v>17/09/2021</v>
      </c>
      <c r="L1053" t="str">
        <f>"18/07/2022"</f>
        <v>18/07/2022</v>
      </c>
      <c r="M1053" t="str">
        <f>""</f>
        <v/>
      </c>
      <c r="N1053" t="str">
        <f>"Convento Claudio Via III^ Strada 3 Z.A. 30010 Campolongo Maggiore VE"</f>
        <v>Convento Claudio Via III^ Strada 3 Z.A. 30010 Campolongo Maggiore VE</v>
      </c>
      <c r="O1053" t="str">
        <f>"Convento Claudio Via III^ Strada 3 Z.A. 30010 Campolongo Maggiore VE"</f>
        <v>Convento Claudio Via III^ Strada 3 Z.A. 30010 Campolongo Maggiore VE</v>
      </c>
      <c r="P1053" t="str">
        <f>"Z7E3316B21: [2500.00€ ]"</f>
        <v>Z7E3316B21: [2500.00€ ]</v>
      </c>
      <c r="Q1053" t="str">
        <f>""</f>
        <v/>
      </c>
      <c r="R1053" t="str">
        <f>""</f>
        <v/>
      </c>
      <c r="S1053" t="str">
        <f>""</f>
        <v/>
      </c>
      <c r="T1053" t="str">
        <f>"https://portaletrasparenza.consorziobacchiglione.it/dettagli/attodigara/7148/sostituzione-canalizzazione-per-riciclo-aria-raffreddamento-e-modifica-porte-esistenti-locale-presso-g-e-idrovora-saricinesca.html"</f>
        <v>https://portaletrasparenza.consorziobacchiglione.it/dettagli/attodigara/7148/sostituzione-canalizzazione-per-riciclo-aria-raffreddamento-e-modifica-porte-esistenti-locale-presso-g-e-idrovora-saricinesca.html</v>
      </c>
      <c r="U1053" t="str">
        <f>"https://portaletrasparenza.consorziobacchiglione.it/download/attodigara/7148/63ac45c82cee7.PDF"</f>
        <v>https://portaletrasparenza.consorziobacchiglione.it/download/attodigara/7148/63ac45c82cee7.PDF</v>
      </c>
      <c r="V10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54" spans="1:22" x14ac:dyDescent="0.3">
      <c r="A1054" t="str">
        <f>"Affidamento"</f>
        <v>Affidamento</v>
      </c>
      <c r="B1054" t="str">
        <f>"Installazione di una passarella con scaletta in grigliato zincato a sostegno quadro elettrico su paratoia Governo Ricicleria di Limena"</f>
        <v>Installazione di una passarella con scaletta in grigliato zincato a sostegno quadro elettrico su paratoia Governo Ricicleria di Limena</v>
      </c>
      <c r="C1054" t="str">
        <f>"Z6D3316882"</f>
        <v>Z6D3316882</v>
      </c>
      <c r="D1054" t="str">
        <f>"21/09/2021"</f>
        <v>21/09/2021</v>
      </c>
      <c r="E1054" t="str">
        <f>""</f>
        <v/>
      </c>
      <c r="F1054" t="str">
        <f>""</f>
        <v/>
      </c>
      <c r="G1054" t="str">
        <f>"1000.00"</f>
        <v>1000.00</v>
      </c>
      <c r="H1054" t="str">
        <f>"Consorzio di bonifica Bacchiglione"</f>
        <v>Consorzio di bonifica Bacchiglione</v>
      </c>
      <c r="I1054" t="str">
        <f>"92223390284"</f>
        <v>92223390284</v>
      </c>
      <c r="J1054" t="str">
        <f>"23-AFFIDAMENTO DIRETTO"</f>
        <v>23-AFFIDAMENTO DIRETTO</v>
      </c>
      <c r="K1054" t="str">
        <f>"17/09/2021"</f>
        <v>17/09/2021</v>
      </c>
      <c r="L1054" t="str">
        <f>"31/03/2022"</f>
        <v>31/03/2022</v>
      </c>
      <c r="M1054" t="str">
        <f>""</f>
        <v/>
      </c>
      <c r="N1054" t="str">
        <f>"Convento Claudio Via III^ Strada 3 Z.A. 30010 Campolongo Maggiore VE"</f>
        <v>Convento Claudio Via III^ Strada 3 Z.A. 30010 Campolongo Maggiore VE</v>
      </c>
      <c r="O1054" t="str">
        <f>"Convento Claudio Via III^ Strada 3 Z.A. 30010 Campolongo Maggiore VE"</f>
        <v>Convento Claudio Via III^ Strada 3 Z.A. 30010 Campolongo Maggiore VE</v>
      </c>
      <c r="P1054" t="str">
        <f>"Z6D3316882: [1000.00€ ]"</f>
        <v>Z6D3316882: [1000.00€ ]</v>
      </c>
      <c r="Q1054" t="str">
        <f>""</f>
        <v/>
      </c>
      <c r="R1054" t="str">
        <f>""</f>
        <v/>
      </c>
      <c r="S1054" t="str">
        <f>""</f>
        <v/>
      </c>
      <c r="T1054" t="str">
        <f>"https://portaletrasparenza.consorziobacchiglione.it/dettagli/attodigara/7147/installazione-di-una-passarella-con-scaletta-in-grigliato-zincato-a-sostegno-quadro-elettrico-su-paratoia-governo-ricicleria-di-limena.html"</f>
        <v>https://portaletrasparenza.consorziobacchiglione.it/dettagli/attodigara/7147/installazione-di-una-passarella-con-scaletta-in-grigliato-zincato-a-sostegno-quadro-elettrico-su-paratoia-governo-ricicleria-di-limena.html</v>
      </c>
      <c r="U1054" t="str">
        <f>"https://portaletrasparenza.consorziobacchiglione.it/download/attodigara/7147/63ac45c7e7fe2.PDF"</f>
        <v>https://portaletrasparenza.consorziobacchiglione.it/download/attodigara/7147/63ac45c7e7fe2.PDF</v>
      </c>
      <c r="V10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55" spans="1:22" x14ac:dyDescent="0.3">
      <c r="A1055" t="str">
        <f>"Affidamento"</f>
        <v>Affidamento</v>
      </c>
      <c r="B1055" t="str">
        <f>"Servizi di Vigilanza su Idrovora S.Margherita, Bovolenta, Scolmatore Limenella Fossetta."</f>
        <v>Servizi di Vigilanza su Idrovora S.Margherita, Bovolenta, Scolmatore Limenella Fossetta.</v>
      </c>
      <c r="C1055" t="str">
        <f>"Z371B9DBD1"</f>
        <v>Z371B9DBD1</v>
      </c>
      <c r="D1055" t="str">
        <f>"04/11/2021"</f>
        <v>04/11/2021</v>
      </c>
      <c r="E1055" t="str">
        <f>""</f>
        <v/>
      </c>
      <c r="F1055" t="str">
        <f>""</f>
        <v/>
      </c>
      <c r="G1055" t="str">
        <f>"4700.00"</f>
        <v>4700.00</v>
      </c>
      <c r="H1055" t="str">
        <f>"Consorzio di bonifica Bacchiglione"</f>
        <v>Consorzio di bonifica Bacchiglione</v>
      </c>
      <c r="I1055" t="str">
        <f>"92223390284"</f>
        <v>92223390284</v>
      </c>
      <c r="J1055" t="str">
        <f>"23-AFFIDAMENTO DIRETTO"</f>
        <v>23-AFFIDAMENTO DIRETTO</v>
      </c>
      <c r="K1055" t="str">
        <f>"17/10/2021"</f>
        <v>17/10/2021</v>
      </c>
      <c r="L1055" t="str">
        <f>"14/02/2021"</f>
        <v>14/02/2021</v>
      </c>
      <c r="M1055" t="str">
        <f>""</f>
        <v/>
      </c>
      <c r="N1055" t="str">
        <f>"Padova Controlli di Vigilanza Via della Croce Rossa 62-8 35129 Padova"</f>
        <v>Padova Controlli di Vigilanza Via della Croce Rossa 62-8 35129 Padova</v>
      </c>
      <c r="O1055" t="str">
        <f>"Padova Controlli di Vigilanza Via della Croce Rossa 62-8 35129 Padova"</f>
        <v>Padova Controlli di Vigilanza Via della Croce Rossa 62-8 35129 Padova</v>
      </c>
      <c r="P1055" t="s">
        <v>289</v>
      </c>
      <c r="Q1055" t="str">
        <f>""</f>
        <v/>
      </c>
      <c r="R1055" t="str">
        <f>""</f>
        <v/>
      </c>
      <c r="S1055" t="str">
        <f>""</f>
        <v/>
      </c>
      <c r="T1055" t="str">
        <f>"https://portaletrasparenza.consorziobacchiglione.it/dettagli/attodigara/831/servizi-di-vigilanza-su-idrovora-s-margherita-bovolenta-scolmatore-limenella-fossetta.html"</f>
        <v>https://portaletrasparenza.consorziobacchiglione.it/dettagli/attodigara/831/servizi-di-vigilanza-su-idrovora-s-margherita-bovolenta-scolmatore-limenella-fossetta.html</v>
      </c>
      <c r="U1055" t="str">
        <f>""</f>
        <v/>
      </c>
      <c r="V10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56" spans="1:22" x14ac:dyDescent="0.3">
      <c r="A1056" t="str">
        <f>"Affidamento"</f>
        <v>Affidamento</v>
      </c>
      <c r="B1056" t="str">
        <f>"Manutenzione elettropompa n1 e n 2 dell'Idrovora Vallesella."</f>
        <v>Manutenzione elettropompa n1 e n 2 dell'Idrovora Vallesella.</v>
      </c>
      <c r="C1056" t="str">
        <f>"Z951C10814"</f>
        <v>Z951C10814</v>
      </c>
      <c r="D1056" t="str">
        <f>"04/11/2021"</f>
        <v>04/11/2021</v>
      </c>
      <c r="E1056" t="str">
        <f>""</f>
        <v/>
      </c>
      <c r="F1056" t="str">
        <f>""</f>
        <v/>
      </c>
      <c r="G1056" t="str">
        <f>"13900.00"</f>
        <v>13900.00</v>
      </c>
      <c r="H1056" t="str">
        <f>"Consorzio di bonifica Bacchiglione"</f>
        <v>Consorzio di bonifica Bacchiglione</v>
      </c>
      <c r="I1056" t="str">
        <f>"92223390284"</f>
        <v>92223390284</v>
      </c>
      <c r="J1056" t="str">
        <f>"23-AFFIDAMENTO DIRETTO"</f>
        <v>23-AFFIDAMENTO DIRETTO</v>
      </c>
      <c r="K1056" t="str">
        <f>"17/11/2021"</f>
        <v>17/11/2021</v>
      </c>
      <c r="L1056" t="str">
        <f>"15/09/2021"</f>
        <v>15/09/2021</v>
      </c>
      <c r="M1056" t="str">
        <f>""</f>
        <v/>
      </c>
      <c r="N1056" t="str">
        <f>"Officina Biesse S.n.c. Via Matteotti 24 35020 Arzergrande PD | Moro Meccanica S.R.L. Via Bologna 7 35035 Mestrino PD | Twincad S.R.L. Via Don Milani 1 45100 Rovigo"</f>
        <v>Officina Biesse S.n.c. Via Matteotti 24 35020 Arzergrande PD | Moro Meccanica S.R.L. Via Bologna 7 35035 Mestrino PD | Twincad S.R.L. Via Don Milani 1 45100 Rovigo</v>
      </c>
      <c r="O1056" t="str">
        <f>"Officina Biesse S.n.c. Via Matteotti 24 35020 Arzergrande PD"</f>
        <v>Officina Biesse S.n.c. Via Matteotti 24 35020 Arzergrande PD</v>
      </c>
      <c r="P1056" t="str">
        <f>"Z951C10814: [13900.00€ ]"</f>
        <v>Z951C10814: [13900.00€ ]</v>
      </c>
      <c r="Q1056" t="str">
        <f>""</f>
        <v/>
      </c>
      <c r="R1056" t="str">
        <f>""</f>
        <v/>
      </c>
      <c r="S1056" t="str">
        <f>""</f>
        <v/>
      </c>
      <c r="T1056" t="str">
        <f>"https://portaletrasparenza.consorziobacchiglione.it/dettagli/attodigara/923/manutenzione-elettropompa-n1-e-n-2-dell-idrovora-vallesella.html"</f>
        <v>https://portaletrasparenza.consorziobacchiglione.it/dettagli/attodigara/923/manutenzione-elettropompa-n1-e-n-2-dell-idrovora-vallesella.html</v>
      </c>
      <c r="U1056" t="str">
        <f>""</f>
        <v/>
      </c>
      <c r="V105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57" spans="1:22" x14ac:dyDescent="0.3">
      <c r="A1057" t="str">
        <f>"Affidamento"</f>
        <v>Affidamento</v>
      </c>
      <c r="B1057" t="str">
        <f>"Manutenzione e riparazione motobarca Nettuno n.7 presso C.O.Bovolenta"</f>
        <v>Manutenzione e riparazione motobarca Nettuno n.7 presso C.O.Bovolenta</v>
      </c>
      <c r="C1057" t="str">
        <f>"Z5333F5654"</f>
        <v>Z5333F5654</v>
      </c>
      <c r="D1057" t="str">
        <f>"18/11/2021"</f>
        <v>18/11/2021</v>
      </c>
      <c r="E1057" t="str">
        <f>""</f>
        <v/>
      </c>
      <c r="F1057" t="str">
        <f>""</f>
        <v/>
      </c>
      <c r="G1057" t="str">
        <f>"338.23"</f>
        <v>338.23</v>
      </c>
      <c r="H1057" t="str">
        <f>"Consorzio di bonifica Bacchiglione"</f>
        <v>Consorzio di bonifica Bacchiglione</v>
      </c>
      <c r="I1057" t="str">
        <f>"92223390284"</f>
        <v>92223390284</v>
      </c>
      <c r="J1057" t="str">
        <f>"23-AFFIDAMENTO DIRETTO"</f>
        <v>23-AFFIDAMENTO DIRETTO</v>
      </c>
      <c r="K1057" t="str">
        <f>"17/11/2021"</f>
        <v>17/11/2021</v>
      </c>
      <c r="L1057" t="str">
        <f>"17/12/2021"</f>
        <v>17/12/2021</v>
      </c>
      <c r="M1057" t="str">
        <f>""</f>
        <v/>
      </c>
      <c r="N1057" t="str">
        <f>"Negrisolo Officina Meccanica s.a.s. V.le delle Industrie II° strada 13 35025 Cagnola di Cartura PD"</f>
        <v>Negrisolo Officina Meccanica s.a.s. V.le delle Industrie II° strada 13 35025 Cagnola di Cartura PD</v>
      </c>
      <c r="O1057" t="str">
        <f>"Negrisolo Officina Meccanica s.a.s. V.le delle Industrie II° strada 13 35025 Cagnola di Cartura PD"</f>
        <v>Negrisolo Officina Meccanica s.a.s. V.le delle Industrie II° strada 13 35025 Cagnola di Cartura PD</v>
      </c>
      <c r="P1057" t="s">
        <v>286</v>
      </c>
      <c r="Q1057" t="str">
        <f>""</f>
        <v/>
      </c>
      <c r="R1057" t="str">
        <f>""</f>
        <v/>
      </c>
      <c r="S1057" t="str">
        <f>""</f>
        <v/>
      </c>
      <c r="T1057" t="str">
        <f>"https://portaletrasparenza.consorziobacchiglione.it/dettagli/attodigara/7290/manutenzione-e-riparazione-motobarca-nettuno-n-7-presso-c-o-bovolenta.html"</f>
        <v>https://portaletrasparenza.consorziobacchiglione.it/dettagli/attodigara/7290/manutenzione-e-riparazione-motobarca-nettuno-n-7-presso-c-o-bovolenta.html</v>
      </c>
      <c r="U1057" t="str">
        <f>"https://portaletrasparenza.consorziobacchiglione.it/download/attodigara/7290/63ac45eb8df41.PDF"</f>
        <v>https://portaletrasparenza.consorziobacchiglione.it/download/attodigara/7290/63ac45eb8df41.PDF</v>
      </c>
      <c r="V105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58" spans="1:22" x14ac:dyDescent="0.3">
      <c r="A1058" t="str">
        <f>"Affidamento"</f>
        <v>Affidamento</v>
      </c>
      <c r="B1058" t="str">
        <f>"Noleggio Trivella per Miniescavatore JCB con punta diamantata per lavori su scolo Cà Manzoni"</f>
        <v>Noleggio Trivella per Miniescavatore JCB con punta diamantata per lavori su scolo Cà Manzoni</v>
      </c>
      <c r="C1058" t="str">
        <f>"Z293477172"</f>
        <v>Z293477172</v>
      </c>
      <c r="D1058" t="str">
        <f>"17/12/2021"</f>
        <v>17/12/2021</v>
      </c>
      <c r="E1058" t="str">
        <f>""</f>
        <v/>
      </c>
      <c r="F1058" t="str">
        <f>""</f>
        <v/>
      </c>
      <c r="G1058" t="str">
        <f>"90.00"</f>
        <v>90.00</v>
      </c>
      <c r="H1058" t="str">
        <f>"Consorzio di bonifica Bacchiglione"</f>
        <v>Consorzio di bonifica Bacchiglione</v>
      </c>
      <c r="I1058" t="str">
        <f>"92223390284"</f>
        <v>92223390284</v>
      </c>
      <c r="J1058" t="str">
        <f>"23-AFFIDAMENTO DIRETTO"</f>
        <v>23-AFFIDAMENTO DIRETTO</v>
      </c>
      <c r="K1058" t="str">
        <f>"17/12/2021"</f>
        <v>17/12/2021</v>
      </c>
      <c r="L1058" t="str">
        <f>"22/12/2021"</f>
        <v>22/12/2021</v>
      </c>
      <c r="M1058" t="str">
        <f>""</f>
        <v/>
      </c>
      <c r="N1058" t="str">
        <f>"Sorme s.n.c. Via Monache 21 35030 Selvazzano Dentro PD"</f>
        <v>Sorme s.n.c. Via Monache 21 35030 Selvazzano Dentro PD</v>
      </c>
      <c r="O1058" t="str">
        <f>"Sorme s.n.c. Via Monache 21 35030 Selvazzano Dentro PD"</f>
        <v>Sorme s.n.c. Via Monache 21 35030 Selvazzano Dentro PD</v>
      </c>
      <c r="P1058" t="s">
        <v>321</v>
      </c>
      <c r="Q1058" t="str">
        <f>""</f>
        <v/>
      </c>
      <c r="R1058" t="str">
        <f>""</f>
        <v/>
      </c>
      <c r="S1058" t="str">
        <f>""</f>
        <v/>
      </c>
      <c r="T1058" t="str">
        <f>"https://portaletrasparenza.consorziobacchiglione.it/dettagli/attodigara/7364/noleggio-trivella-per-miniescavatore-jcb-con-punta-diamantata-per-lavori-su-scolo-ca-manzoni.html"</f>
        <v>https://portaletrasparenza.consorziobacchiglione.it/dettagli/attodigara/7364/noleggio-trivella-per-miniescavatore-jcb-con-punta-diamantata-per-lavori-su-scolo-ca-manzoni.html</v>
      </c>
      <c r="U1058" t="str">
        <f>"https://portaletrasparenza.consorziobacchiglione.it/download/attodigara/7364/63ac45fc824f5.PDF"</f>
        <v>https://portaletrasparenza.consorziobacchiglione.it/download/attodigara/7364/63ac45fc824f5.PDF</v>
      </c>
      <c r="V10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59" spans="1:22" x14ac:dyDescent="0.3">
      <c r="A1059" t="str">
        <f>"Affidamento"</f>
        <v>Affidamento</v>
      </c>
      <c r="B1059" t="str">
        <f>"Fornitura materiale medico per cassette di primo soccorso"</f>
        <v>Fornitura materiale medico per cassette di primo soccorso</v>
      </c>
      <c r="C1059" t="str">
        <f>"Z47347A6A2"</f>
        <v>Z47347A6A2</v>
      </c>
      <c r="D1059" t="str">
        <f>"20/12/2021"</f>
        <v>20/12/2021</v>
      </c>
      <c r="E1059" t="str">
        <f>""</f>
        <v/>
      </c>
      <c r="F1059" t="str">
        <f>""</f>
        <v/>
      </c>
      <c r="G1059" t="str">
        <f>"311.58"</f>
        <v>311.58</v>
      </c>
      <c r="H1059" t="str">
        <f>"Consorzio di bonifica Bacchiglione"</f>
        <v>Consorzio di bonifica Bacchiglione</v>
      </c>
      <c r="I1059" t="str">
        <f>"92223390284"</f>
        <v>92223390284</v>
      </c>
      <c r="J1059" t="str">
        <f>"23-AFFIDAMENTO DIRETTO"</f>
        <v>23-AFFIDAMENTO DIRETTO</v>
      </c>
      <c r="K1059" t="str">
        <f>"17/12/2021"</f>
        <v>17/12/2021</v>
      </c>
      <c r="L1059" t="str">
        <f>"23/12/2021"</f>
        <v>23/12/2021</v>
      </c>
      <c r="M1059" t="str">
        <f>""</f>
        <v/>
      </c>
      <c r="N1059" t="str">
        <f>"Bergamaschi Antincendi Antinfortunistica Padova s.r.l. Via G. Galilei 2-I 35030 Caselle di Selvazzano PD"</f>
        <v>Bergamaschi Antincendi Antinfortunistica Padova s.r.l. Via G. Galilei 2-I 35030 Caselle di Selvazzano PD</v>
      </c>
      <c r="O1059" t="str">
        <f>"Bergamaschi Antincendi Antinfortunistica Padova s.r.l. Via G. Galilei 2-I 35030 Caselle di Selvazzano PD"</f>
        <v>Bergamaschi Antincendi Antinfortunistica Padova s.r.l. Via G. Galilei 2-I 35030 Caselle di Selvazzano PD</v>
      </c>
      <c r="P1059" t="s">
        <v>291</v>
      </c>
      <c r="Q1059" t="str">
        <f>""</f>
        <v/>
      </c>
      <c r="R1059" t="str">
        <f>""</f>
        <v/>
      </c>
      <c r="S1059" t="str">
        <f>""</f>
        <v/>
      </c>
      <c r="T1059" t="str">
        <f>"https://portaletrasparenza.consorziobacchiglione.it/dettagli/attodigara/7365/fornitura-materiale-medico-per-cassette-di-primo-soccorso.html"</f>
        <v>https://portaletrasparenza.consorziobacchiglione.it/dettagli/attodigara/7365/fornitura-materiale-medico-per-cassette-di-primo-soccorso.html</v>
      </c>
      <c r="U1059" t="str">
        <f>"https://portaletrasparenza.consorziobacchiglione.it/download/attodigara/7365/63ac45fd4f5f7.PDF"</f>
        <v>https://portaletrasparenza.consorziobacchiglione.it/download/attodigara/7365/63ac45fd4f5f7.PDF</v>
      </c>
      <c r="V105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60" spans="1:22" x14ac:dyDescent="0.3">
      <c r="A1060" t="str">
        <f>"Affidamento"</f>
        <v>Affidamento</v>
      </c>
      <c r="B1060" t="str">
        <f>"Servizio sotitutivo di mensa personale periferico anno 2016. UTO COLLI EUGANEI"</f>
        <v>Servizio sotitutivo di mensa personale periferico anno 2016. UTO COLLI EUGANEI</v>
      </c>
      <c r="C1060" t="str">
        <f>"Z43185774C"</f>
        <v>Z43185774C</v>
      </c>
      <c r="D1060" t="str">
        <f>"04/11/2021"</f>
        <v>04/11/2021</v>
      </c>
      <c r="E1060" t="str">
        <f>""</f>
        <v/>
      </c>
      <c r="F1060" t="str">
        <f>""</f>
        <v/>
      </c>
      <c r="G1060" t="str">
        <f>"10000.00"</f>
        <v>10000.00</v>
      </c>
      <c r="H1060" t="str">
        <f>"Consorzio di bonifica Bacchiglione"</f>
        <v>Consorzio di bonifica Bacchiglione</v>
      </c>
      <c r="I1060" t="str">
        <f>"92223390284"</f>
        <v>92223390284</v>
      </c>
      <c r="J1060" t="str">
        <f>"23-AFFIDAMENTO DIRETTO"</f>
        <v>23-AFFIDAMENTO DIRETTO</v>
      </c>
      <c r="K1060" t="str">
        <f>"18/01/2021"</f>
        <v>18/01/2021</v>
      </c>
      <c r="L1060" t="str">
        <f>"31/12/2021"</f>
        <v>31/12/2021</v>
      </c>
      <c r="M1060" t="str">
        <f>""</f>
        <v/>
      </c>
      <c r="N1060" t="str">
        <f>"LES ARCS S.N.C. DI FORESTAN E BINOTTO"</f>
        <v>LES ARCS S.N.C. DI FORESTAN E BINOTTO</v>
      </c>
      <c r="O1060" t="str">
        <f>"LES ARCS S.N.C. DI FORESTAN E BINOTTO"</f>
        <v>LES ARCS S.N.C. DI FORESTAN E BINOTTO</v>
      </c>
      <c r="P1060" t="s">
        <v>166</v>
      </c>
      <c r="Q1060" t="str">
        <f>""</f>
        <v/>
      </c>
      <c r="R1060" t="str">
        <f>""</f>
        <v/>
      </c>
      <c r="S1060" t="str">
        <f>""</f>
        <v/>
      </c>
      <c r="T1060" t="str">
        <f>"https://portaletrasparenza.consorziobacchiglione.it/dettagli/attodigara/53/servizio-sotitutivo-di-mensa-personale-periferico-anno-2016-uto-colli-euganei.html"</f>
        <v>https://portaletrasparenza.consorziobacchiglione.it/dettagli/attodigara/53/servizio-sotitutivo-di-mensa-personale-periferico-anno-2016-uto-colli-euganei.html</v>
      </c>
      <c r="U1060" t="str">
        <f>""</f>
        <v/>
      </c>
      <c r="V10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61" spans="1:22" x14ac:dyDescent="0.3">
      <c r="A1061" t="str">
        <f>"Affidamento"</f>
        <v>Affidamento</v>
      </c>
      <c r="B1061" t="str">
        <f>"Servizio sostitutivo mensa personale periferico anno 2016. UTO SESTA PRESA"</f>
        <v>Servizio sostitutivo mensa personale periferico anno 2016. UTO SESTA PRESA</v>
      </c>
      <c r="C1061" t="str">
        <f>"Z8B1858F9B"</f>
        <v>Z8B1858F9B</v>
      </c>
      <c r="D1061" t="str">
        <f>"04/11/2021"</f>
        <v>04/11/2021</v>
      </c>
      <c r="E1061" t="str">
        <f>""</f>
        <v/>
      </c>
      <c r="F1061" t="str">
        <f>""</f>
        <v/>
      </c>
      <c r="G1061" t="str">
        <f>"6363.64"</f>
        <v>6363.64</v>
      </c>
      <c r="H1061" t="str">
        <f>"Consorzio di bonifica Bacchiglione"</f>
        <v>Consorzio di bonifica Bacchiglione</v>
      </c>
      <c r="I1061" t="str">
        <f>"92223390284"</f>
        <v>92223390284</v>
      </c>
      <c r="J1061" t="str">
        <f>"23-AFFIDAMENTO DIRETTO"</f>
        <v>23-AFFIDAMENTO DIRETTO</v>
      </c>
      <c r="K1061" t="str">
        <f>"18/01/2021"</f>
        <v>18/01/2021</v>
      </c>
      <c r="L1061" t="str">
        <f>"31/12/2021"</f>
        <v>31/12/2021</v>
      </c>
      <c r="M1061" t="str">
        <f>""</f>
        <v/>
      </c>
      <c r="N1061" t="str">
        <f>"GRAZIA SAS DI ZIN MORENO E C"</f>
        <v>GRAZIA SAS DI ZIN MORENO E C</v>
      </c>
      <c r="O1061" t="str">
        <f>"GRAZIA SAS DI ZIN MORENO E C"</f>
        <v>GRAZIA SAS DI ZIN MORENO E C</v>
      </c>
      <c r="P1061" t="s">
        <v>173</v>
      </c>
      <c r="Q1061" t="str">
        <f>""</f>
        <v/>
      </c>
      <c r="R1061" t="str">
        <f>""</f>
        <v/>
      </c>
      <c r="S1061" t="str">
        <f>""</f>
        <v/>
      </c>
      <c r="T1061" t="str">
        <f>"https://portaletrasparenza.consorziobacchiglione.it/dettagli/attodigara/70/servizio-sostitutivo-mensa-personale-periferico-anno-2016-uto-sesta-presa.html"</f>
        <v>https://portaletrasparenza.consorziobacchiglione.it/dettagli/attodigara/70/servizio-sostitutivo-mensa-personale-periferico-anno-2016-uto-sesta-presa.html</v>
      </c>
      <c r="U1061" t="str">
        <f>""</f>
        <v/>
      </c>
      <c r="V106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62" spans="1:22" x14ac:dyDescent="0.3">
      <c r="A1062" t="str">
        <f>"Affidamento"</f>
        <v>Affidamento</v>
      </c>
      <c r="B1062" t="str">
        <f>"Servizio sostitutivo mensa personale periferico anno 2016. UTO SESTA PRESA"</f>
        <v>Servizio sostitutivo mensa personale periferico anno 2016. UTO SESTA PRESA</v>
      </c>
      <c r="C1062" t="str">
        <f>"Z971858EEB"</f>
        <v>Z971858EEB</v>
      </c>
      <c r="D1062" t="str">
        <f>"04/11/2021"</f>
        <v>04/11/2021</v>
      </c>
      <c r="E1062" t="str">
        <f>""</f>
        <v/>
      </c>
      <c r="F1062" t="str">
        <f>""</f>
        <v/>
      </c>
      <c r="G1062" t="str">
        <f>"5909.09"</f>
        <v>5909.09</v>
      </c>
      <c r="H1062" t="str">
        <f>"Consorzio di bonifica Bacchiglione"</f>
        <v>Consorzio di bonifica Bacchiglione</v>
      </c>
      <c r="I1062" t="str">
        <f>"92223390284"</f>
        <v>92223390284</v>
      </c>
      <c r="J1062" t="str">
        <f>"23-AFFIDAMENTO DIRETTO"</f>
        <v>23-AFFIDAMENTO DIRETTO</v>
      </c>
      <c r="K1062" t="str">
        <f>"18/01/2021"</f>
        <v>18/01/2021</v>
      </c>
      <c r="L1062" t="str">
        <f>"31/12/2021"</f>
        <v>31/12/2021</v>
      </c>
      <c r="M1062" t="str">
        <f>""</f>
        <v/>
      </c>
      <c r="N1062" t="str">
        <f>"LA RUSTICA DI CARRARO ANGELO"</f>
        <v>LA RUSTICA DI CARRARO ANGELO</v>
      </c>
      <c r="O1062" t="str">
        <f>"LA RUSTICA DI CARRARO ANGELO"</f>
        <v>LA RUSTICA DI CARRARO ANGELO</v>
      </c>
      <c r="P1062" t="s">
        <v>177</v>
      </c>
      <c r="Q1062" t="str">
        <f>""</f>
        <v/>
      </c>
      <c r="R1062" t="str">
        <f>""</f>
        <v/>
      </c>
      <c r="S1062" t="str">
        <f>""</f>
        <v/>
      </c>
      <c r="T1062" t="str">
        <f>"https://portaletrasparenza.consorziobacchiglione.it/dettagli/attodigara/68/servizio-sostitutivo-mensa-personale-periferico-anno-2016-uto-sesta-presa.html"</f>
        <v>https://portaletrasparenza.consorziobacchiglione.it/dettagli/attodigara/68/servizio-sostitutivo-mensa-personale-periferico-anno-2016-uto-sesta-presa.html</v>
      </c>
      <c r="U1062" t="str">
        <f>""</f>
        <v/>
      </c>
      <c r="V106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63" spans="1:22" x14ac:dyDescent="0.3">
      <c r="A1063" t="str">
        <f>"Affidamento"</f>
        <v>Affidamento</v>
      </c>
      <c r="B1063" t="str">
        <f>"Servizio sostitutivo mensa personale periferico anno 2016. UTO MONTA' PORTELLO"</f>
        <v>Servizio sostitutivo mensa personale periferico anno 2016. UTO MONTA' PORTELLO</v>
      </c>
      <c r="C1063" t="str">
        <f>"Z2E1858E12"</f>
        <v>Z2E1858E12</v>
      </c>
      <c r="D1063" t="str">
        <f>"04/11/2021"</f>
        <v>04/11/2021</v>
      </c>
      <c r="E1063" t="str">
        <f>""</f>
        <v/>
      </c>
      <c r="F1063" t="str">
        <f>""</f>
        <v/>
      </c>
      <c r="G1063" t="str">
        <f>"2272.73"</f>
        <v>2272.73</v>
      </c>
      <c r="H1063" t="str">
        <f>"Consorzio di bonifica Bacchiglione"</f>
        <v>Consorzio di bonifica Bacchiglione</v>
      </c>
      <c r="I1063" t="str">
        <f>"92223390284"</f>
        <v>92223390284</v>
      </c>
      <c r="J1063" t="str">
        <f>"23-AFFIDAMENTO DIRETTO"</f>
        <v>23-AFFIDAMENTO DIRETTO</v>
      </c>
      <c r="K1063" t="str">
        <f>"18/01/2021"</f>
        <v>18/01/2021</v>
      </c>
      <c r="L1063" t="str">
        <f>"31/12/2021"</f>
        <v>31/12/2021</v>
      </c>
      <c r="M1063" t="str">
        <f>""</f>
        <v/>
      </c>
      <c r="N1063" t="str">
        <f>"TRATTORIA BASSO ISONZO S.A.S. DI BERTOCCO LORELLA E C."</f>
        <v>TRATTORIA BASSO ISONZO S.A.S. DI BERTOCCO LORELLA E C.</v>
      </c>
      <c r="O1063" t="str">
        <f>"TRATTORIA BASSO ISONZO S.A.S. DI BERTOCCO LORELLA E C."</f>
        <v>TRATTORIA BASSO ISONZO S.A.S. DI BERTOCCO LORELLA E C.</v>
      </c>
      <c r="P1063" t="s">
        <v>254</v>
      </c>
      <c r="Q1063" t="str">
        <f>""</f>
        <v/>
      </c>
      <c r="R1063" t="str">
        <f>""</f>
        <v/>
      </c>
      <c r="S1063" t="str">
        <f>""</f>
        <v/>
      </c>
      <c r="T1063" t="str">
        <f>"https://portaletrasparenza.consorziobacchiglione.it/dettagli/attodigara/67/servizio-sostitutivo-mensa-personale-periferico-anno-2016-uto-monta-portello.html"</f>
        <v>https://portaletrasparenza.consorziobacchiglione.it/dettagli/attodigara/67/servizio-sostitutivo-mensa-personale-periferico-anno-2016-uto-monta-portello.html</v>
      </c>
      <c r="U1063" t="str">
        <f>""</f>
        <v/>
      </c>
      <c r="V10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64" spans="1:22" x14ac:dyDescent="0.3">
      <c r="A1064" t="str">
        <f>"Affidamento"</f>
        <v>Affidamento</v>
      </c>
      <c r="B1064" t="str">
        <f>"Servizio sostitutivo mensa personale d'ufficio anno 2016."</f>
        <v>Servizio sostitutivo mensa personale d'ufficio anno 2016.</v>
      </c>
      <c r="C1064" t="str">
        <f>"Z49185F27E"</f>
        <v>Z49185F27E</v>
      </c>
      <c r="D1064" t="str">
        <f>"04/11/2021"</f>
        <v>04/11/2021</v>
      </c>
      <c r="E1064" t="str">
        <f>""</f>
        <v/>
      </c>
      <c r="F1064" t="str">
        <f>""</f>
        <v/>
      </c>
      <c r="G1064" t="str">
        <f>"4613.63"</f>
        <v>4613.63</v>
      </c>
      <c r="H1064" t="str">
        <f>"Consorzio di bonifica Bacchiglione"</f>
        <v>Consorzio di bonifica Bacchiglione</v>
      </c>
      <c r="I1064" t="str">
        <f>"92223390284"</f>
        <v>92223390284</v>
      </c>
      <c r="J1064" t="str">
        <f>"23-AFFIDAMENTO DIRETTO"</f>
        <v>23-AFFIDAMENTO DIRETTO</v>
      </c>
      <c r="K1064" t="str">
        <f>"18/01/2021"</f>
        <v>18/01/2021</v>
      </c>
      <c r="L1064" t="str">
        <f>"30/01/2021"</f>
        <v>30/01/2021</v>
      </c>
      <c r="M1064" t="str">
        <f>""</f>
        <v/>
      </c>
      <c r="N1064" t="str">
        <f>"TIFFANY S.N.C. DI ALLOCCA S. E TOMASI L."</f>
        <v>TIFFANY S.N.C. DI ALLOCCA S. E TOMASI L.</v>
      </c>
      <c r="O1064" t="str">
        <f>"TIFFANY S.N.C. DI ALLOCCA S. E TOMASI L."</f>
        <v>TIFFANY S.N.C. DI ALLOCCA S. E TOMASI L.</v>
      </c>
      <c r="P1064" t="s">
        <v>371</v>
      </c>
      <c r="Q1064" t="str">
        <f>""</f>
        <v/>
      </c>
      <c r="R1064" t="str">
        <f>""</f>
        <v/>
      </c>
      <c r="S1064" t="str">
        <f>""</f>
        <v/>
      </c>
      <c r="T1064" t="str">
        <f>"https://portaletrasparenza.consorziobacchiglione.it/dettagli/attodigara/76/servizio-sostitutivo-mensa-personale-d-ufficio-anno-2016.html"</f>
        <v>https://portaletrasparenza.consorziobacchiglione.it/dettagli/attodigara/76/servizio-sostitutivo-mensa-personale-d-ufficio-anno-2016.html</v>
      </c>
      <c r="U1064" t="str">
        <f>""</f>
        <v/>
      </c>
      <c r="V10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65" spans="1:22" x14ac:dyDescent="0.3">
      <c r="A1065" t="str">
        <f>"Affidamento"</f>
        <v>Affidamento</v>
      </c>
      <c r="B1065" t="str">
        <f>"Servizio sostitutivo mensa personale periferico anno 2016. UTO SESTA PRESA"</f>
        <v>Servizio sostitutivo mensa personale periferico anno 2016. UTO SESTA PRESA</v>
      </c>
      <c r="C1065" t="str">
        <f>"Z941859012"</f>
        <v>Z941859012</v>
      </c>
      <c r="D1065" t="str">
        <f>"04/11/2021"</f>
        <v>04/11/2021</v>
      </c>
      <c r="E1065" t="str">
        <f>""</f>
        <v/>
      </c>
      <c r="F1065" t="str">
        <f>""</f>
        <v/>
      </c>
      <c r="G1065" t="str">
        <f>"2272.73"</f>
        <v>2272.73</v>
      </c>
      <c r="H1065" t="str">
        <f>"Consorzio di bonifica Bacchiglione"</f>
        <v>Consorzio di bonifica Bacchiglione</v>
      </c>
      <c r="I1065" t="str">
        <f>"92223390284"</f>
        <v>92223390284</v>
      </c>
      <c r="J1065" t="str">
        <f>"23-AFFIDAMENTO DIRETTO"</f>
        <v>23-AFFIDAMENTO DIRETTO</v>
      </c>
      <c r="K1065" t="str">
        <f>"18/01/2021"</f>
        <v>18/01/2021</v>
      </c>
      <c r="L1065" t="str">
        <f>"08/07/2021"</f>
        <v>08/07/2021</v>
      </c>
      <c r="M1065" t="str">
        <f>""</f>
        <v/>
      </c>
      <c r="N1065" t="str">
        <f>"TRATTORIA LANTERNA BLU DI MANCINI SIMONE"</f>
        <v>TRATTORIA LANTERNA BLU DI MANCINI SIMONE</v>
      </c>
      <c r="O1065" t="str">
        <f>"TRATTORIA LANTERNA BLU DI MANCINI SIMONE"</f>
        <v>TRATTORIA LANTERNA BLU DI MANCINI SIMONE</v>
      </c>
      <c r="P1065" t="str">
        <f>"Z941859012: [2272.73€ ]"</f>
        <v>Z941859012: [2272.73€ ]</v>
      </c>
      <c r="Q1065" t="str">
        <f>""</f>
        <v/>
      </c>
      <c r="R1065" t="str">
        <f>""</f>
        <v/>
      </c>
      <c r="S1065" t="str">
        <f>""</f>
        <v/>
      </c>
      <c r="T1065" t="str">
        <f>"https://portaletrasparenza.consorziobacchiglione.it/dettagli/attodigara/71/servizio-sostitutivo-mensa-personale-periferico-anno-2016-uto-sesta-presa.html"</f>
        <v>https://portaletrasparenza.consorziobacchiglione.it/dettagli/attodigara/71/servizio-sostitutivo-mensa-personale-periferico-anno-2016-uto-sesta-presa.html</v>
      </c>
      <c r="U1065" t="str">
        <f>""</f>
        <v/>
      </c>
      <c r="V10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66" spans="1:22" x14ac:dyDescent="0.3">
      <c r="A1066" t="str">
        <f>"Affidamento"</f>
        <v>Affidamento</v>
      </c>
      <c r="B1066" t="str">
        <f>"Attività di virtualizzazione \'Nuovo Server Catasto\' su sistema Vmware ESXI e supporto operativo alla predisposizione della sicurezza Tcp/Ip firewall"</f>
        <v>Attività di virtualizzazione \'Nuovo Server Catasto\' su sistema Vmware ESXI e supporto operativo alla predisposizione della sicurezza Tcp/Ip firewall</v>
      </c>
      <c r="C1066" t="str">
        <f>"Z80185CC5f"</f>
        <v>Z80185CC5f</v>
      </c>
      <c r="D1066" t="str">
        <f>"04/11/2021"</f>
        <v>04/11/2021</v>
      </c>
      <c r="E1066" t="str">
        <f>""</f>
        <v/>
      </c>
      <c r="F1066" t="str">
        <f>""</f>
        <v/>
      </c>
      <c r="G1066" t="str">
        <f>"200.00"</f>
        <v>200.00</v>
      </c>
      <c r="H1066" t="str">
        <f>"Consorzio di bonifica Bacchiglione"</f>
        <v>Consorzio di bonifica Bacchiglione</v>
      </c>
      <c r="I1066" t="str">
        <f>"92223390284"</f>
        <v>92223390284</v>
      </c>
      <c r="J1066" t="str">
        <f>"23-AFFIDAMENTO DIRETTO"</f>
        <v>23-AFFIDAMENTO DIRETTO</v>
      </c>
      <c r="K1066" t="str">
        <f>"18/01/2021"</f>
        <v>18/01/2021</v>
      </c>
      <c r="L1066" t="str">
        <f>"01/02/2021"</f>
        <v>01/02/2021</v>
      </c>
      <c r="M1066" t="str">
        <f>""</f>
        <v/>
      </c>
      <c r="N1066" t="str">
        <f>"N.S.I.T. s.r.l."</f>
        <v>N.S.I.T. s.r.l.</v>
      </c>
      <c r="O1066" t="str">
        <f>"N.S.I.T. s.r.l."</f>
        <v>N.S.I.T. s.r.l.</v>
      </c>
      <c r="P1066" t="str">
        <f>"Z80185CC5f: [200.00€ ]"</f>
        <v>Z80185CC5f: [200.00€ ]</v>
      </c>
      <c r="Q1066" t="str">
        <f>""</f>
        <v/>
      </c>
      <c r="R1066" t="str">
        <f>""</f>
        <v/>
      </c>
      <c r="S1066" t="str">
        <f>""</f>
        <v/>
      </c>
      <c r="T1066" t="str">
        <f>"https://portaletrasparenza.consorziobacchiglione.it/dettagli/attodigara/69/attivita-di-virtualizzazione-nuovo-server-catasto-su-sistema-vmware-esxi-e-supporto-operativo-alla-predisposizione-della-sicurezza-tcp-ip-firewall.html"</f>
        <v>https://portaletrasparenza.consorziobacchiglione.it/dettagli/attodigara/69/attivita-di-virtualizzazione-nuovo-server-catasto-su-sistema-vmware-esxi-e-supporto-operativo-alla-predisposizione-della-sicurezza-tcp-ip-firewall.html</v>
      </c>
      <c r="U1066" t="str">
        <f>""</f>
        <v/>
      </c>
      <c r="V106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67" spans="1:22" x14ac:dyDescent="0.3">
      <c r="A1067" t="str">
        <f>"Affidamento"</f>
        <v>Affidamento</v>
      </c>
      <c r="B1067" t="str">
        <f>"Fornitura MC. 3,00 di calcestruzzo zona via Chiodare Due Carrare."</f>
        <v>Fornitura MC. 3,00 di calcestruzzo zona via Chiodare Due Carrare.</v>
      </c>
      <c r="C1067" t="str">
        <f>"ZD9180E4D9"</f>
        <v>ZD9180E4D9</v>
      </c>
      <c r="D1067" t="str">
        <f>"04/11/2021"</f>
        <v>04/11/2021</v>
      </c>
      <c r="E1067" t="str">
        <f>""</f>
        <v/>
      </c>
      <c r="F1067" t="str">
        <f>""</f>
        <v/>
      </c>
      <c r="G1067" t="str">
        <f>"330.00"</f>
        <v>330.00</v>
      </c>
      <c r="H1067" t="str">
        <f>"Consorzio di bonifica Bacchiglione"</f>
        <v>Consorzio di bonifica Bacchiglione</v>
      </c>
      <c r="I1067" t="str">
        <f>"92223390284"</f>
        <v>92223390284</v>
      </c>
      <c r="J1067" t="str">
        <f>"23-AFFIDAMENTO DIRETTO"</f>
        <v>23-AFFIDAMENTO DIRETTO</v>
      </c>
      <c r="K1067" t="str">
        <f>"18/01/2021"</f>
        <v>18/01/2021</v>
      </c>
      <c r="L1067" t="str">
        <f>"02/02/2021"</f>
        <v>02/02/2021</v>
      </c>
      <c r="M1067" t="str">
        <f>""</f>
        <v/>
      </c>
      <c r="N1067" t="str">
        <f>"Zagolin Giovanni s.r.l. Via Gelsi 56 35028 Piove di Sacco PD"</f>
        <v>Zagolin Giovanni s.r.l. Via Gelsi 56 35028 Piove di Sacco PD</v>
      </c>
      <c r="O1067" t="str">
        <f>"Zagolin Giovanni s.r.l. Via Gelsi 56 35028 Piove di Sacco PD"</f>
        <v>Zagolin Giovanni s.r.l. Via Gelsi 56 35028 Piove di Sacco PD</v>
      </c>
      <c r="P1067" t="str">
        <f>"ZD9180E4D9: [330.00€ ]"</f>
        <v>ZD9180E4D9: [330.00€ ]</v>
      </c>
      <c r="Q1067" t="str">
        <f>""</f>
        <v/>
      </c>
      <c r="R1067" t="str">
        <f>""</f>
        <v/>
      </c>
      <c r="S1067" t="str">
        <f>""</f>
        <v/>
      </c>
      <c r="T1067" t="str">
        <f>"https://portaletrasparenza.consorziobacchiglione.it/dettagli/attodigara/56/fornitura-mc-3-00-di-calcestruzzo-zona-via-chiodare-due-carrare.html"</f>
        <v>https://portaletrasparenza.consorziobacchiglione.it/dettagli/attodigara/56/fornitura-mc-3-00-di-calcestruzzo-zona-via-chiodare-due-carrare.html</v>
      </c>
      <c r="U1067" t="str">
        <f>""</f>
        <v/>
      </c>
      <c r="V106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68" spans="1:22" x14ac:dyDescent="0.3">
      <c r="A1068" t="str">
        <f>"Affidamento"</f>
        <v>Affidamento</v>
      </c>
      <c r="B1068" t="str">
        <f>"Sostituzione scaldiglia acqua G.E. Idrovora Trezze."</f>
        <v>Sostituzione scaldiglia acqua G.E. Idrovora Trezze.</v>
      </c>
      <c r="C1068" t="str">
        <f>"ZA5180E394"</f>
        <v>ZA5180E394</v>
      </c>
      <c r="D1068" t="str">
        <f>"04/11/2021"</f>
        <v>04/11/2021</v>
      </c>
      <c r="E1068" t="str">
        <f>""</f>
        <v/>
      </c>
      <c r="F1068" t="str">
        <f>""</f>
        <v/>
      </c>
      <c r="G1068" t="str">
        <f>"200.00"</f>
        <v>200.00</v>
      </c>
      <c r="H1068" t="str">
        <f>"Consorzio di bonifica Bacchiglione"</f>
        <v>Consorzio di bonifica Bacchiglione</v>
      </c>
      <c r="I1068" t="str">
        <f>"92223390284"</f>
        <v>92223390284</v>
      </c>
      <c r="J1068" t="str">
        <f>"23-AFFIDAMENTO DIRETTO"</f>
        <v>23-AFFIDAMENTO DIRETTO</v>
      </c>
      <c r="K1068" t="str">
        <f>"18/01/2021"</f>
        <v>18/01/2021</v>
      </c>
      <c r="L1068" t="str">
        <f>"29/03/2021"</f>
        <v>29/03/2021</v>
      </c>
      <c r="M1068" t="str">
        <f>""</f>
        <v/>
      </c>
      <c r="N1068" t="str">
        <f>"TREE S.R.L. Via Rino Collodel 3 31020 San Pietro di Feletto TV"</f>
        <v>TREE S.R.L. Via Rino Collodel 3 31020 San Pietro di Feletto TV</v>
      </c>
      <c r="O1068" t="str">
        <f>"TREE S.R.L. Via Rino Collodel 3 31020 San Pietro di Feletto TV"</f>
        <v>TREE S.R.L. Via Rino Collodel 3 31020 San Pietro di Feletto TV</v>
      </c>
      <c r="P1068" t="str">
        <f>"ZA5180E394: [200.00€ ]"</f>
        <v>ZA5180E394: [200.00€ ]</v>
      </c>
      <c r="Q1068" t="str">
        <f>""</f>
        <v/>
      </c>
      <c r="R1068" t="str">
        <f>""</f>
        <v/>
      </c>
      <c r="S1068" t="str">
        <f>""</f>
        <v/>
      </c>
      <c r="T1068" t="str">
        <f>"https://portaletrasparenza.consorziobacchiglione.it/dettagli/attodigara/54/sostituzione-scaldiglia-acqua-g-e-idrovora-trezze.html"</f>
        <v>https://portaletrasparenza.consorziobacchiglione.it/dettagli/attodigara/54/sostituzione-scaldiglia-acqua-g-e-idrovora-trezze.html</v>
      </c>
      <c r="U1068" t="str">
        <f>""</f>
        <v/>
      </c>
      <c r="V10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69" spans="1:22" x14ac:dyDescent="0.3">
      <c r="A1069" t="str">
        <f>"Affidamento"</f>
        <v>Affidamento</v>
      </c>
      <c r="B1069" t="str">
        <f>"Servizio sostitutivo mensa personale d'ufficio anno 2016."</f>
        <v>Servizio sostitutivo mensa personale d'ufficio anno 2016.</v>
      </c>
      <c r="C1069" t="str">
        <f>"Z45185F16A"</f>
        <v>Z45185F16A</v>
      </c>
      <c r="D1069" t="str">
        <f>"04/11/2021"</f>
        <v>04/11/2021</v>
      </c>
      <c r="E1069" t="str">
        <f>""</f>
        <v/>
      </c>
      <c r="F1069" t="str">
        <f>""</f>
        <v/>
      </c>
      <c r="G1069" t="str">
        <f>"4545.45"</f>
        <v>4545.45</v>
      </c>
      <c r="H1069" t="str">
        <f>"Consorzio di bonifica Bacchiglione"</f>
        <v>Consorzio di bonifica Bacchiglione</v>
      </c>
      <c r="I1069" t="str">
        <f>"92223390284"</f>
        <v>92223390284</v>
      </c>
      <c r="J1069" t="str">
        <f>"23-AFFIDAMENTO DIRETTO"</f>
        <v>23-AFFIDAMENTO DIRETTO</v>
      </c>
      <c r="K1069" t="str">
        <f>"18/01/2021"</f>
        <v>18/01/2021</v>
      </c>
      <c r="L1069" t="str">
        <f>"31/12/2021"</f>
        <v>31/12/2021</v>
      </c>
      <c r="M1069" t="str">
        <f>""</f>
        <v/>
      </c>
      <c r="N1069" t="str">
        <f>"BAR VECIA PADOVA DI BROGGIO MATTEO"</f>
        <v>BAR VECIA PADOVA DI BROGGIO MATTEO</v>
      </c>
      <c r="O1069" t="str">
        <f>"BAR VECIA PADOVA DI BROGGIO MATTEO"</f>
        <v>BAR VECIA PADOVA DI BROGGIO MATTEO</v>
      </c>
      <c r="P1069" t="str">
        <f>"Z45185F16A: [4504.09€ ]"</f>
        <v>Z45185F16A: [4504.09€ ]</v>
      </c>
      <c r="Q1069" t="str">
        <f>""</f>
        <v/>
      </c>
      <c r="R1069" t="str">
        <f>""</f>
        <v/>
      </c>
      <c r="S1069" t="str">
        <f>""</f>
        <v/>
      </c>
      <c r="T1069" t="str">
        <f>"https://portaletrasparenza.consorziobacchiglione.it/dettagli/attodigara/73/servizio-sostitutivo-mensa-personale-d-ufficio-anno-2016.html"</f>
        <v>https://portaletrasparenza.consorziobacchiglione.it/dettagli/attodigara/73/servizio-sostitutivo-mensa-personale-d-ufficio-anno-2016.html</v>
      </c>
      <c r="U1069" t="str">
        <f>""</f>
        <v/>
      </c>
      <c r="V1069">
        <f>(SUBSTITUTE(Tabella1[[#This Row],[Importo di aggiudicazione]],".",","))-(SUBSTITUTE(  SUBSTITUTE(          SUBSTITUTE(Tabella1[[#This Row],[Dettaglio somme liquidate]],Tabella1[[#This Row],[CIG]]&amp;": [",""),"€ ]",""),".",","))</f>
        <v>41.359999999999673</v>
      </c>
    </row>
    <row r="1070" spans="1:22" x14ac:dyDescent="0.3">
      <c r="A1070" t="str">
        <f>"Affidamento"</f>
        <v>Affidamento</v>
      </c>
      <c r="B1070" t="str">
        <f>"Servizio sostitutivo mensa personale periferico anno 2016. UTO SESTA PRESA"</f>
        <v>Servizio sostitutivo mensa personale periferico anno 2016. UTO SESTA PRESA</v>
      </c>
      <c r="C1070" t="str">
        <f>"ZF61857C67"</f>
        <v>ZF61857C67</v>
      </c>
      <c r="D1070" t="str">
        <f>"04/11/2021"</f>
        <v>04/11/2021</v>
      </c>
      <c r="E1070" t="str">
        <f>""</f>
        <v/>
      </c>
      <c r="F1070" t="str">
        <f>""</f>
        <v/>
      </c>
      <c r="G1070" t="str">
        <f>"16363.64"</f>
        <v>16363.64</v>
      </c>
      <c r="H1070" t="str">
        <f>"Consorzio di bonifica Bacchiglione"</f>
        <v>Consorzio di bonifica Bacchiglione</v>
      </c>
      <c r="I1070" t="str">
        <f>"92223390284"</f>
        <v>92223390284</v>
      </c>
      <c r="J1070" t="str">
        <f>"23-AFFIDAMENTO DIRETTO"</f>
        <v>23-AFFIDAMENTO DIRETTO</v>
      </c>
      <c r="K1070" t="str">
        <f>"18/01/2021"</f>
        <v>18/01/2021</v>
      </c>
      <c r="L1070" t="str">
        <f>"31/12/2021"</f>
        <v>31/12/2021</v>
      </c>
      <c r="M1070" t="str">
        <f>""</f>
        <v/>
      </c>
      <c r="N1070" t="str">
        <f>"IN PROGETTO S.R.L. - TRATTORIA DA TONI"</f>
        <v>IN PROGETTO S.R.L. - TRATTORIA DA TONI</v>
      </c>
      <c r="O1070" t="str">
        <f>"IN PROGETTO S.R.L. - TRATTORIA DA TONI"</f>
        <v>IN PROGETTO S.R.L. - TRATTORIA DA TONI</v>
      </c>
      <c r="P1070" t="str">
        <f>"ZF61857C67: [16307.29€ ]"</f>
        <v>ZF61857C67: [16307.29€ ]</v>
      </c>
      <c r="Q1070" t="str">
        <f>""</f>
        <v/>
      </c>
      <c r="R1070" t="str">
        <f>""</f>
        <v/>
      </c>
      <c r="S1070" t="str">
        <f>""</f>
        <v/>
      </c>
      <c r="T1070" t="str">
        <f>"https://portaletrasparenza.consorziobacchiglione.it/dettagli/attodigara/61/servizio-sostitutivo-mensa-personale-periferico-anno-2016-uto-sesta-presa.html"</f>
        <v>https://portaletrasparenza.consorziobacchiglione.it/dettagli/attodigara/61/servizio-sostitutivo-mensa-personale-periferico-anno-2016-uto-sesta-presa.html</v>
      </c>
      <c r="U1070" t="str">
        <f>""</f>
        <v/>
      </c>
      <c r="V1070">
        <f>(SUBSTITUTE(Tabella1[[#This Row],[Importo di aggiudicazione]],".",","))-(SUBSTITUTE(  SUBSTITUTE(          SUBSTITUTE(Tabella1[[#This Row],[Dettaglio somme liquidate]],Tabella1[[#This Row],[CIG]]&amp;": [",""),"€ ]",""),".",","))</f>
        <v>56.349999999998545</v>
      </c>
    </row>
    <row r="1071" spans="1:22" x14ac:dyDescent="0.3">
      <c r="A1071" t="str">
        <f>"Affidamento"</f>
        <v>Affidamento</v>
      </c>
      <c r="B1071" t="str">
        <f>"Servizio sostitutivo mensa personale d'ufficio anno 2016."</f>
        <v>Servizio sostitutivo mensa personale d'ufficio anno 2016.</v>
      </c>
      <c r="C1071" t="str">
        <f>"Z1A185F583"</f>
        <v>Z1A185F583</v>
      </c>
      <c r="D1071" t="str">
        <f>"04/11/2021"</f>
        <v>04/11/2021</v>
      </c>
      <c r="E1071" t="str">
        <f>""</f>
        <v/>
      </c>
      <c r="F1071" t="str">
        <f>""</f>
        <v/>
      </c>
      <c r="G1071" t="str">
        <f>"5090.90"</f>
        <v>5090.90</v>
      </c>
      <c r="H1071" t="str">
        <f>"Consorzio di bonifica Bacchiglione"</f>
        <v>Consorzio di bonifica Bacchiglione</v>
      </c>
      <c r="I1071" t="str">
        <f>"92223390284"</f>
        <v>92223390284</v>
      </c>
      <c r="J1071" t="str">
        <f>"23-AFFIDAMENTO DIRETTO"</f>
        <v>23-AFFIDAMENTO DIRETTO</v>
      </c>
      <c r="K1071" t="str">
        <f>"18/01/2021"</f>
        <v>18/01/2021</v>
      </c>
      <c r="L1071" t="str">
        <f>"09/12/2021"</f>
        <v>09/12/2021</v>
      </c>
      <c r="M1071" t="str">
        <f>""</f>
        <v/>
      </c>
      <c r="N1071" t="str">
        <f>"REGANA S.A.S. DI CALORE KETY - BAR AI TRANI"</f>
        <v>REGANA S.A.S. DI CALORE KETY - BAR AI TRANI</v>
      </c>
      <c r="O1071" t="str">
        <f>"REGANA S.A.S. DI CALORE KETY - BAR AI TRANI"</f>
        <v>REGANA S.A.S. DI CALORE KETY - BAR AI TRANI</v>
      </c>
      <c r="P1071" t="str">
        <f>"Z1A185F583: [4963.66€ ]"</f>
        <v>Z1A185F583: [4963.66€ ]</v>
      </c>
      <c r="Q1071" t="str">
        <f>""</f>
        <v/>
      </c>
      <c r="R1071" t="str">
        <f>""</f>
        <v/>
      </c>
      <c r="S1071" t="str">
        <f>""</f>
        <v/>
      </c>
      <c r="T1071" t="str">
        <f>"https://portaletrasparenza.consorziobacchiglione.it/dettagli/attodigara/75/servizio-sostitutivo-mensa-personale-d-ufficio-anno-2016.html"</f>
        <v>https://portaletrasparenza.consorziobacchiglione.it/dettagli/attodigara/75/servizio-sostitutivo-mensa-personale-d-ufficio-anno-2016.html</v>
      </c>
      <c r="U1071" t="str">
        <f>""</f>
        <v/>
      </c>
      <c r="V1071">
        <f>(SUBSTITUTE(Tabella1[[#This Row],[Importo di aggiudicazione]],".",","))-(SUBSTITUTE(  SUBSTITUTE(          SUBSTITUTE(Tabella1[[#This Row],[Dettaglio somme liquidate]],Tabella1[[#This Row],[CIG]]&amp;": [",""),"€ ]",""),".",","))</f>
        <v>127.23999999999978</v>
      </c>
    </row>
    <row r="1072" spans="1:22" x14ac:dyDescent="0.3">
      <c r="A1072" t="str">
        <f>"Affidamento"</f>
        <v>Affidamento</v>
      </c>
      <c r="B1072" t="str">
        <f>"Servizio sostitutivo mensa personale periferico anno 2016. UTO COLLI EUGANEI"</f>
        <v>Servizio sostitutivo mensa personale periferico anno 2016. UTO COLLI EUGANEI</v>
      </c>
      <c r="C1072" t="str">
        <f>"ZF41858D83"</f>
        <v>ZF41858D83</v>
      </c>
      <c r="D1072" t="str">
        <f>"04/11/2021"</f>
        <v>04/11/2021</v>
      </c>
      <c r="E1072" t="str">
        <f>""</f>
        <v/>
      </c>
      <c r="F1072" t="str">
        <f>""</f>
        <v/>
      </c>
      <c r="G1072" t="str">
        <f>"2727.27"</f>
        <v>2727.27</v>
      </c>
      <c r="H1072" t="str">
        <f>"Consorzio di bonifica Bacchiglione"</f>
        <v>Consorzio di bonifica Bacchiglione</v>
      </c>
      <c r="I1072" t="str">
        <f>"92223390284"</f>
        <v>92223390284</v>
      </c>
      <c r="J1072" t="str">
        <f>"23-AFFIDAMENTO DIRETTO"</f>
        <v>23-AFFIDAMENTO DIRETTO</v>
      </c>
      <c r="K1072" t="str">
        <f>"18/01/2021"</f>
        <v>18/01/2021</v>
      </c>
      <c r="L1072" t="str">
        <f>"31/12/2021"</f>
        <v>31/12/2021</v>
      </c>
      <c r="M1072" t="str">
        <f>""</f>
        <v/>
      </c>
      <c r="N1072" t="str">
        <f>"TRATTORIA DA GIOVANNI DI POLITO ANGELINA"</f>
        <v>TRATTORIA DA GIOVANNI DI POLITO ANGELINA</v>
      </c>
      <c r="O1072" t="str">
        <f>"TRATTORIA DA GIOVANNI DI POLITO ANGELINA"</f>
        <v>TRATTORIA DA GIOVANNI DI POLITO ANGELINA</v>
      </c>
      <c r="P1072" t="str">
        <f>"ZF41858D83: [2580.00€ ]"</f>
        <v>ZF41858D83: [2580.00€ ]</v>
      </c>
      <c r="Q1072" t="str">
        <f>""</f>
        <v/>
      </c>
      <c r="R1072" t="str">
        <f>""</f>
        <v/>
      </c>
      <c r="S1072" t="str">
        <f>""</f>
        <v/>
      </c>
      <c r="T1072" t="str">
        <f>"https://portaletrasparenza.consorziobacchiglione.it/dettagli/attodigara/66/servizio-sostitutivo-mensa-personale-periferico-anno-2016-uto-colli-euganei.html"</f>
        <v>https://portaletrasparenza.consorziobacchiglione.it/dettagli/attodigara/66/servizio-sostitutivo-mensa-personale-periferico-anno-2016-uto-colli-euganei.html</v>
      </c>
      <c r="U1072" t="str">
        <f>""</f>
        <v/>
      </c>
      <c r="V1072">
        <f>(SUBSTITUTE(Tabella1[[#This Row],[Importo di aggiudicazione]],".",","))-(SUBSTITUTE(  SUBSTITUTE(          SUBSTITUTE(Tabella1[[#This Row],[Dettaglio somme liquidate]],Tabella1[[#This Row],[CIG]]&amp;": [",""),"€ ]",""),".",","))</f>
        <v>147.26999999999998</v>
      </c>
    </row>
    <row r="1073" spans="1:22" x14ac:dyDescent="0.3">
      <c r="A1073" t="str">
        <f>"Affidamento"</f>
        <v>Affidamento</v>
      </c>
      <c r="B1073" t="str">
        <f>"Servizio sostitutivo mensa personale d'ufficio anno 2016."</f>
        <v>Servizio sostitutivo mensa personale d'ufficio anno 2016.</v>
      </c>
      <c r="C1073" t="str">
        <f>"Z9E185F1DF"</f>
        <v>Z9E185F1DF</v>
      </c>
      <c r="D1073" t="str">
        <f>"04/11/2021"</f>
        <v>04/11/2021</v>
      </c>
      <c r="E1073" t="str">
        <f>""</f>
        <v/>
      </c>
      <c r="F1073" t="str">
        <f>""</f>
        <v/>
      </c>
      <c r="G1073" t="str">
        <f>"2272.73"</f>
        <v>2272.73</v>
      </c>
      <c r="H1073" t="str">
        <f>"Consorzio di bonifica Bacchiglione"</f>
        <v>Consorzio di bonifica Bacchiglione</v>
      </c>
      <c r="I1073" t="str">
        <f>"92223390284"</f>
        <v>92223390284</v>
      </c>
      <c r="J1073" t="str">
        <f>"23-AFFIDAMENTO DIRETTO"</f>
        <v>23-AFFIDAMENTO DIRETTO</v>
      </c>
      <c r="K1073" t="str">
        <f>"18/01/2021"</f>
        <v>18/01/2021</v>
      </c>
      <c r="L1073" t="str">
        <f>"31/12/2021"</f>
        <v>31/12/2021</v>
      </c>
      <c r="M1073" t="str">
        <f>""</f>
        <v/>
      </c>
      <c r="N1073" t="str">
        <f>"Z.A.S. S.R.L."</f>
        <v>Z.A.S. S.R.L.</v>
      </c>
      <c r="O1073" t="str">
        <f>"Z.A.S. S.R.L."</f>
        <v>Z.A.S. S.R.L.</v>
      </c>
      <c r="P1073" t="str">
        <f>"Z9E185F1DF: [1929.54€ ]"</f>
        <v>Z9E185F1DF: [1929.54€ ]</v>
      </c>
      <c r="Q1073" t="str">
        <f>""</f>
        <v/>
      </c>
      <c r="R1073" t="str">
        <f>""</f>
        <v/>
      </c>
      <c r="S1073" t="str">
        <f>""</f>
        <v/>
      </c>
      <c r="T1073" t="str">
        <f>"https://portaletrasparenza.consorziobacchiglione.it/dettagli/attodigara/74/servizio-sostitutivo-mensa-personale-d-ufficio-anno-2016.html"</f>
        <v>https://portaletrasparenza.consorziobacchiglione.it/dettagli/attodigara/74/servizio-sostitutivo-mensa-personale-d-ufficio-anno-2016.html</v>
      </c>
      <c r="U1073" t="str">
        <f>""</f>
        <v/>
      </c>
      <c r="V1073">
        <f>(SUBSTITUTE(Tabella1[[#This Row],[Importo di aggiudicazione]],".",","))-(SUBSTITUTE(  SUBSTITUTE(          SUBSTITUTE(Tabella1[[#This Row],[Dettaglio somme liquidate]],Tabella1[[#This Row],[CIG]]&amp;": [",""),"€ ]",""),".",","))</f>
        <v>343.19000000000005</v>
      </c>
    </row>
    <row r="1074" spans="1:22" x14ac:dyDescent="0.3">
      <c r="A1074" t="str">
        <f>"Affidamento"</f>
        <v>Affidamento</v>
      </c>
      <c r="B1074" t="str">
        <f>"Sevizio sostituitivo mensa personale d'ufficio anno 2016"</f>
        <v>Sevizio sostituitivo mensa personale d'ufficio anno 2016</v>
      </c>
      <c r="C1074" t="str">
        <f>"Z23185E54F"</f>
        <v>Z23185E54F</v>
      </c>
      <c r="D1074" t="str">
        <f>"04/11/2021"</f>
        <v>04/11/2021</v>
      </c>
      <c r="E1074" t="str">
        <f>""</f>
        <v/>
      </c>
      <c r="F1074" t="str">
        <f>""</f>
        <v/>
      </c>
      <c r="G1074" t="str">
        <f>"1818.18"</f>
        <v>1818.18</v>
      </c>
      <c r="H1074" t="str">
        <f>"Consorzio di bonifica Bacchiglione"</f>
        <v>Consorzio di bonifica Bacchiglione</v>
      </c>
      <c r="I1074" t="str">
        <f>"92223390284"</f>
        <v>92223390284</v>
      </c>
      <c r="J1074" t="str">
        <f>"23-AFFIDAMENTO DIRETTO"</f>
        <v>23-AFFIDAMENTO DIRETTO</v>
      </c>
      <c r="K1074" t="str">
        <f>"18/01/2021"</f>
        <v>18/01/2021</v>
      </c>
      <c r="L1074" t="str">
        <f>"31/12/2021"</f>
        <v>31/12/2021</v>
      </c>
      <c r="M1074" t="str">
        <f>""</f>
        <v/>
      </c>
      <c r="N1074" t="str">
        <f>"BAR PANINOTECA AL VESCOVADO DI PELLEGRINI DANIELA"</f>
        <v>BAR PANINOTECA AL VESCOVADO DI PELLEGRINI DANIELA</v>
      </c>
      <c r="O1074" t="str">
        <f>"BAR PANINOTECA AL VESCOVADO DI PELLEGRINI DANIELA"</f>
        <v>BAR PANINOTECA AL VESCOVADO DI PELLEGRINI DANIELA</v>
      </c>
      <c r="P1074" t="str">
        <f>"Z23185E54F: [1452.23€ ]"</f>
        <v>Z23185E54F: [1452.23€ ]</v>
      </c>
      <c r="Q1074" t="str">
        <f>""</f>
        <v/>
      </c>
      <c r="R1074" t="str">
        <f>""</f>
        <v/>
      </c>
      <c r="S1074" t="str">
        <f>""</f>
        <v/>
      </c>
      <c r="T1074" t="str">
        <f>"https://portaletrasparenza.consorziobacchiglione.it/dettagli/attodigara/72/sevizio-sostituitivo-mensa-personale-d-ufficio-anno-2016.html"</f>
        <v>https://portaletrasparenza.consorziobacchiglione.it/dettagli/attodigara/72/sevizio-sostituitivo-mensa-personale-d-ufficio-anno-2016.html</v>
      </c>
      <c r="U1074" t="str">
        <f>""</f>
        <v/>
      </c>
      <c r="V1074">
        <f>(SUBSTITUTE(Tabella1[[#This Row],[Importo di aggiudicazione]],".",","))-(SUBSTITUTE(  SUBSTITUTE(          SUBSTITUTE(Tabella1[[#This Row],[Dettaglio somme liquidate]],Tabella1[[#This Row],[CIG]]&amp;": [",""),"€ ]",""),".",","))</f>
        <v>365.95000000000005</v>
      </c>
    </row>
    <row r="1075" spans="1:22" x14ac:dyDescent="0.3">
      <c r="A1075" t="str">
        <f>"Affidamento"</f>
        <v>Affidamento</v>
      </c>
      <c r="B1075" t="str">
        <f>"Servizio sostitutivo di mensa anno 2016. UTO Montà Portello."</f>
        <v>Servizio sostitutivo di mensa anno 2016. UTO Montà Portello.</v>
      </c>
      <c r="C1075" t="str">
        <f>"ZB0185754D"</f>
        <v>ZB0185754D</v>
      </c>
      <c r="D1075" t="str">
        <f>"04/11/2021"</f>
        <v>04/11/2021</v>
      </c>
      <c r="E1075" t="str">
        <f>""</f>
        <v/>
      </c>
      <c r="F1075" t="str">
        <f>""</f>
        <v/>
      </c>
      <c r="G1075" t="str">
        <f>"5454.55"</f>
        <v>5454.55</v>
      </c>
      <c r="H1075" t="str">
        <f>"Consorzio di bonifica Bacchiglione"</f>
        <v>Consorzio di bonifica Bacchiglione</v>
      </c>
      <c r="I1075" t="str">
        <f>"92223390284"</f>
        <v>92223390284</v>
      </c>
      <c r="J1075" t="str">
        <f>"23-AFFIDAMENTO DIRETTO"</f>
        <v>23-AFFIDAMENTO DIRETTO</v>
      </c>
      <c r="K1075" t="str">
        <f>"18/01/2021"</f>
        <v>18/01/2021</v>
      </c>
      <c r="L1075" t="str">
        <f>"31/12/2021"</f>
        <v>31/12/2021</v>
      </c>
      <c r="M1075" t="str">
        <f>""</f>
        <v/>
      </c>
      <c r="N1075" t="str">
        <f>"RISTOSTOPIZZA GROSSO POMODORO PINZIMONIO S.N.C. DI MASIERO ANDREA E C."</f>
        <v>RISTOSTOPIZZA GROSSO POMODORO PINZIMONIO S.N.C. DI MASIERO ANDREA E C.</v>
      </c>
      <c r="O1075" t="str">
        <f>"RISTOSTOPIZZA GROSSO POMODORO PINZIMONIO S.N.C. DI MASIERO ANDREA E C."</f>
        <v>RISTOSTOPIZZA GROSSO POMODORO PINZIMONIO S.N.C. DI MASIERO ANDREA E C.</v>
      </c>
      <c r="P1075" t="str">
        <f>"ZB0185754D: [5088.19€ ]"</f>
        <v>ZB0185754D: [5088.19€ ]</v>
      </c>
      <c r="Q1075" t="str">
        <f>""</f>
        <v/>
      </c>
      <c r="R1075" t="str">
        <f>""</f>
        <v/>
      </c>
      <c r="S1075" t="str">
        <f>""</f>
        <v/>
      </c>
      <c r="T1075" t="str">
        <f>"https://portaletrasparenza.consorziobacchiglione.it/dettagli/attodigara/51/servizio-sostitutivo-di-mensa-anno-2016-uto-monta-portello.html"</f>
        <v>https://portaletrasparenza.consorziobacchiglione.it/dettagli/attodigara/51/servizio-sostitutivo-di-mensa-anno-2016-uto-monta-portello.html</v>
      </c>
      <c r="U1075" t="str">
        <f>""</f>
        <v/>
      </c>
      <c r="V1075">
        <f>(SUBSTITUTE(Tabella1[[#This Row],[Importo di aggiudicazione]],".",","))-(SUBSTITUTE(  SUBSTITUTE(          SUBSTITUTE(Tabella1[[#This Row],[Dettaglio somme liquidate]],Tabella1[[#This Row],[CIG]]&amp;": [",""),"€ ]",""),".",","))</f>
        <v>366.36000000000058</v>
      </c>
    </row>
    <row r="1076" spans="1:22" x14ac:dyDescent="0.3">
      <c r="A1076" t="str">
        <f>"Affidamento"</f>
        <v>Affidamento</v>
      </c>
      <c r="B1076" t="str">
        <f>"Affidamento servizi attinenti ai software di gestione delle presenze del personale dipendente. Canone di manutenzione licenze d'uso biennio 2016-2017."</f>
        <v>Affidamento servizi attinenti ai software di gestione delle presenze del personale dipendente. Canone di manutenzione licenze d'uso biennio 2016-2017.</v>
      </c>
      <c r="C1076" t="str">
        <f>"ZF0184B7AC"</f>
        <v>ZF0184B7AC</v>
      </c>
      <c r="D1076" t="str">
        <f>"04/11/2021"</f>
        <v>04/11/2021</v>
      </c>
      <c r="E1076" t="str">
        <f>""</f>
        <v/>
      </c>
      <c r="F1076" t="str">
        <f>""</f>
        <v/>
      </c>
      <c r="G1076" t="str">
        <f>"2561.48"</f>
        <v>2561.48</v>
      </c>
      <c r="H1076" t="str">
        <f>"Consorzio di bonifica Bacchiglione"</f>
        <v>Consorzio di bonifica Bacchiglione</v>
      </c>
      <c r="I1076" t="str">
        <f>"92223390284"</f>
        <v>92223390284</v>
      </c>
      <c r="J1076" t="str">
        <f>"23-AFFIDAMENTO DIRETTO"</f>
        <v>23-AFFIDAMENTO DIRETTO</v>
      </c>
      <c r="K1076" t="str">
        <f>"18/01/2021"</f>
        <v>18/01/2021</v>
      </c>
      <c r="L1076" t="str">
        <f>"31/12/2021"</f>
        <v>31/12/2021</v>
      </c>
      <c r="M1076" t="str">
        <f>""</f>
        <v/>
      </c>
      <c r="N1076" t="str">
        <f>"HUNEXT SOFTWARE S.R.L."</f>
        <v>HUNEXT SOFTWARE S.R.L.</v>
      </c>
      <c r="O1076" t="str">
        <f>"HUNEXT SOFTWARE S.R.L."</f>
        <v>HUNEXT SOFTWARE S.R.L.</v>
      </c>
      <c r="P1076" t="str">
        <f>"ZF0184B7AC: [2153.00€ ]"</f>
        <v>ZF0184B7AC: [2153.00€ ]</v>
      </c>
      <c r="Q1076" t="str">
        <f>""</f>
        <v/>
      </c>
      <c r="R1076" t="str">
        <f>""</f>
        <v/>
      </c>
      <c r="S1076" t="str">
        <f>""</f>
        <v/>
      </c>
      <c r="T1076" t="str">
        <f>"https://portaletrasparenza.consorziobacchiglione.it/dettagli/attodigara/50/affidamento-servizi-attinenti-ai-software-di-gestione-delle-presenze-del-personale-dipendente-canone-di-manutenzione-licenze-d-uso-biennio-2016-2017.html"</f>
        <v>https://portaletrasparenza.consorziobacchiglione.it/dettagli/attodigara/50/affidamento-servizi-attinenti-ai-software-di-gestione-delle-presenze-del-personale-dipendente-canone-di-manutenzione-licenze-d-uso-biennio-2016-2017.html</v>
      </c>
      <c r="U1076" t="str">
        <f>""</f>
        <v/>
      </c>
      <c r="V1076">
        <f>(SUBSTITUTE(Tabella1[[#This Row],[Importo di aggiudicazione]],".",","))-(SUBSTITUTE(  SUBSTITUTE(          SUBSTITUTE(Tabella1[[#This Row],[Dettaglio somme liquidate]],Tabella1[[#This Row],[CIG]]&amp;": [",""),"€ ]",""),".",","))</f>
        <v>408.48</v>
      </c>
    </row>
    <row r="1077" spans="1:22" x14ac:dyDescent="0.3">
      <c r="A1077" t="str">
        <f>"Affidamento"</f>
        <v>Affidamento</v>
      </c>
      <c r="B1077" t="str">
        <f>"Affidamento servizio di conservazione e custodia dell'archivio consortile."</f>
        <v>Affidamento servizio di conservazione e custodia dell'archivio consortile.</v>
      </c>
      <c r="C1077" t="str">
        <f>"Z6F186029E"</f>
        <v>Z6F186029E</v>
      </c>
      <c r="D1077" t="str">
        <f>"04/11/2021"</f>
        <v>04/11/2021</v>
      </c>
      <c r="E1077" t="str">
        <f>""</f>
        <v/>
      </c>
      <c r="F1077" t="str">
        <f>""</f>
        <v/>
      </c>
      <c r="G1077" t="str">
        <f>"8500.00"</f>
        <v>8500.00</v>
      </c>
      <c r="H1077" t="str">
        <f>"Consorzio di bonifica Bacchiglione"</f>
        <v>Consorzio di bonifica Bacchiglione</v>
      </c>
      <c r="I1077" t="str">
        <f>"92223390284"</f>
        <v>92223390284</v>
      </c>
      <c r="J1077" t="str">
        <f>"23-AFFIDAMENTO DIRETTO"</f>
        <v>23-AFFIDAMENTO DIRETTO</v>
      </c>
      <c r="K1077" t="str">
        <f>"18/01/2021"</f>
        <v>18/01/2021</v>
      </c>
      <c r="L1077" t="str">
        <f>"31/12/2021"</f>
        <v>31/12/2021</v>
      </c>
      <c r="M1077" t="str">
        <f>""</f>
        <v/>
      </c>
      <c r="N1077" t="str">
        <f>"FDM S.R.L."</f>
        <v>FDM S.R.L.</v>
      </c>
      <c r="O1077" t="str">
        <f>"FDM S.R.L."</f>
        <v>FDM S.R.L.</v>
      </c>
      <c r="P1077" t="str">
        <f>"Z6F186029E: [8017.18€ ]"</f>
        <v>Z6F186029E: [8017.18€ ]</v>
      </c>
      <c r="Q1077" t="str">
        <f>""</f>
        <v/>
      </c>
      <c r="R1077" t="str">
        <f>""</f>
        <v/>
      </c>
      <c r="S1077" t="str">
        <f>""</f>
        <v/>
      </c>
      <c r="T1077" t="str">
        <f>"https://portaletrasparenza.consorziobacchiglione.it/dettagli/attodigara/55/affidamento-servizio-di-conservazione-e-custodia-dell-archivio-consortile.html"</f>
        <v>https://portaletrasparenza.consorziobacchiglione.it/dettagli/attodigara/55/affidamento-servizio-di-conservazione-e-custodia-dell-archivio-consortile.html</v>
      </c>
      <c r="U1077" t="str">
        <f>""</f>
        <v/>
      </c>
      <c r="V1077">
        <f>(SUBSTITUTE(Tabella1[[#This Row],[Importo di aggiudicazione]],".",","))-(SUBSTITUTE(  SUBSTITUTE(          SUBSTITUTE(Tabella1[[#This Row],[Dettaglio somme liquidate]],Tabella1[[#This Row],[CIG]]&amp;": [",""),"€ ]",""),".",","))</f>
        <v>482.81999999999971</v>
      </c>
    </row>
    <row r="1078" spans="1:22" x14ac:dyDescent="0.3">
      <c r="A1078" t="str">
        <f>"Affidamento"</f>
        <v>Affidamento</v>
      </c>
      <c r="B1078" t="str">
        <f>"Serivio sostitutivo mensa personale periferico anno 2016 - UTO SESTA PRESA"</f>
        <v>Serivio sostitutivo mensa personale periferico anno 2016 - UTO SESTA PRESA</v>
      </c>
      <c r="C1078" t="str">
        <f>"Z521857866"</f>
        <v>Z521857866</v>
      </c>
      <c r="D1078" t="str">
        <f>"04/11/2021"</f>
        <v>04/11/2021</v>
      </c>
      <c r="E1078" t="str">
        <f>""</f>
        <v/>
      </c>
      <c r="F1078" t="str">
        <f>""</f>
        <v/>
      </c>
      <c r="G1078" t="str">
        <f>"7272.72"</f>
        <v>7272.72</v>
      </c>
      <c r="H1078" t="str">
        <f>"Consorzio di bonifica Bacchiglione"</f>
        <v>Consorzio di bonifica Bacchiglione</v>
      </c>
      <c r="I1078" t="str">
        <f>"92223390284"</f>
        <v>92223390284</v>
      </c>
      <c r="J1078" t="str">
        <f>"23-AFFIDAMENTO DIRETTO"</f>
        <v>23-AFFIDAMENTO DIRETTO</v>
      </c>
      <c r="K1078" t="str">
        <f>"18/01/2021"</f>
        <v>18/01/2021</v>
      </c>
      <c r="L1078" t="str">
        <f>"15/11/2021"</f>
        <v>15/11/2021</v>
      </c>
      <c r="M1078" t="str">
        <f>""</f>
        <v/>
      </c>
      <c r="N1078" t="str">
        <f>"RISTORANTE VOLPIN DI MICHELOTTO ANNA MARIA"</f>
        <v>RISTORANTE VOLPIN DI MICHELOTTO ANNA MARIA</v>
      </c>
      <c r="O1078" t="str">
        <f>"RISTORANTE VOLPIN DI MICHELOTTO ANNA MARIA"</f>
        <v>RISTORANTE VOLPIN DI MICHELOTTO ANNA MARIA</v>
      </c>
      <c r="P1078" t="str">
        <f>"Z521857866: [6336.50€ ]"</f>
        <v>Z521857866: [6336.50€ ]</v>
      </c>
      <c r="Q1078" t="str">
        <f>""</f>
        <v/>
      </c>
      <c r="R1078" t="str">
        <f>""</f>
        <v/>
      </c>
      <c r="S1078" t="str">
        <f>""</f>
        <v/>
      </c>
      <c r="T1078" t="str">
        <f>"https://portaletrasparenza.consorziobacchiglione.it/dettagli/attodigara/57/serivio-sostitutivo-mensa-personale-periferico-anno-2016-uto-sesta-presa.html"</f>
        <v>https://portaletrasparenza.consorziobacchiglione.it/dettagli/attodigara/57/serivio-sostitutivo-mensa-personale-periferico-anno-2016-uto-sesta-presa.html</v>
      </c>
      <c r="U1078" t="str">
        <f>""</f>
        <v/>
      </c>
      <c r="V1078">
        <f>(SUBSTITUTE(Tabella1[[#This Row],[Importo di aggiudicazione]],".",","))-(SUBSTITUTE(  SUBSTITUTE(          SUBSTITUTE(Tabella1[[#This Row],[Dettaglio somme liquidate]],Tabella1[[#This Row],[CIG]]&amp;": [",""),"€ ]",""),".",","))</f>
        <v>936.22000000000025</v>
      </c>
    </row>
    <row r="1079" spans="1:22" x14ac:dyDescent="0.3">
      <c r="A1079" t="str">
        <f>"Affidamento"</f>
        <v>Affidamento</v>
      </c>
      <c r="B1079" t="str">
        <f>"Servizio sostitutivo mensa personale periferico anno 2016 - UTO SESTA PRESA"</f>
        <v>Servizio sostitutivo mensa personale periferico anno 2016 - UTO SESTA PRESA</v>
      </c>
      <c r="C1079" t="str">
        <f>"Z1218578CC"</f>
        <v>Z1218578CC</v>
      </c>
      <c r="D1079" t="str">
        <f>"04/11/2021"</f>
        <v>04/11/2021</v>
      </c>
      <c r="E1079" t="str">
        <f>""</f>
        <v/>
      </c>
      <c r="F1079" t="str">
        <f>""</f>
        <v/>
      </c>
      <c r="G1079" t="str">
        <f>"6363.64"</f>
        <v>6363.64</v>
      </c>
      <c r="H1079" t="str">
        <f>"Consorzio di bonifica Bacchiglione"</f>
        <v>Consorzio di bonifica Bacchiglione</v>
      </c>
      <c r="I1079" t="str">
        <f>"92223390284"</f>
        <v>92223390284</v>
      </c>
      <c r="J1079" t="str">
        <f>"23-AFFIDAMENTO DIRETTO"</f>
        <v>23-AFFIDAMENTO DIRETTO</v>
      </c>
      <c r="K1079" t="str">
        <f>"18/01/2021"</f>
        <v>18/01/2021</v>
      </c>
      <c r="L1079" t="str">
        <f>"31/12/2021"</f>
        <v>31/12/2021</v>
      </c>
      <c r="M1079" t="str">
        <f>""</f>
        <v/>
      </c>
      <c r="N1079" t="str">
        <f>"TRATTORIA CA' MOLIN DI ZAMPIERI E MENEGHELLO E C. S.N.C."</f>
        <v>TRATTORIA CA' MOLIN DI ZAMPIERI E MENEGHELLO E C. S.N.C.</v>
      </c>
      <c r="O1079" t="str">
        <f>"TRATTORIA CA' MOLIN DI ZAMPIERI E MENEGHELLO E C. S.N.C."</f>
        <v>TRATTORIA CA' MOLIN DI ZAMPIERI E MENEGHELLO E C. S.N.C.</v>
      </c>
      <c r="P1079" t="str">
        <f>"Z1218578CC: [5401.00€ ]"</f>
        <v>Z1218578CC: [5401.00€ ]</v>
      </c>
      <c r="Q1079" t="str">
        <f>""</f>
        <v/>
      </c>
      <c r="R1079" t="str">
        <f>""</f>
        <v/>
      </c>
      <c r="S1079" t="str">
        <f>""</f>
        <v/>
      </c>
      <c r="T1079" t="str">
        <f>"https://portaletrasparenza.consorziobacchiglione.it/dettagli/attodigara/58/servizio-sostitutivo-mensa-personale-periferico-anno-2016-uto-sesta-presa.html"</f>
        <v>https://portaletrasparenza.consorziobacchiglione.it/dettagli/attodigara/58/servizio-sostitutivo-mensa-personale-periferico-anno-2016-uto-sesta-presa.html</v>
      </c>
      <c r="U1079" t="str">
        <f>""</f>
        <v/>
      </c>
      <c r="V1079">
        <f>(SUBSTITUTE(Tabella1[[#This Row],[Importo di aggiudicazione]],".",","))-(SUBSTITUTE(  SUBSTITUTE(          SUBSTITUTE(Tabella1[[#This Row],[Dettaglio somme liquidate]],Tabella1[[#This Row],[CIG]]&amp;": [",""),"€ ]",""),".",","))</f>
        <v>962.64000000000033</v>
      </c>
    </row>
    <row r="1080" spans="1:22" x14ac:dyDescent="0.3">
      <c r="A1080" t="str">
        <f>"Affidamento"</f>
        <v>Affidamento</v>
      </c>
      <c r="B1080" t="str">
        <f>"FORNITURA MATERIALE DI CANCELLERIA"</f>
        <v>FORNITURA MATERIALE DI CANCELLERIA</v>
      </c>
      <c r="C1080" t="str">
        <f>"ZB6185700E"</f>
        <v>ZB6185700E</v>
      </c>
      <c r="D1080" t="str">
        <f>"04/11/2021"</f>
        <v>04/11/2021</v>
      </c>
      <c r="E1080" t="str">
        <f>""</f>
        <v/>
      </c>
      <c r="F1080" t="str">
        <f>""</f>
        <v/>
      </c>
      <c r="G1080" t="str">
        <f>"5737.70"</f>
        <v>5737.70</v>
      </c>
      <c r="H1080" t="str">
        <f>"Consorzio di bonifica Bacchiglione"</f>
        <v>Consorzio di bonifica Bacchiglione</v>
      </c>
      <c r="I1080" t="str">
        <f>"92223390284"</f>
        <v>92223390284</v>
      </c>
      <c r="J1080" t="str">
        <f>"23-AFFIDAMENTO DIRETTO"</f>
        <v>23-AFFIDAMENTO DIRETTO</v>
      </c>
      <c r="K1080" t="str">
        <f>"18/01/2021"</f>
        <v>18/01/2021</v>
      </c>
      <c r="L1080" t="str">
        <f>"31/12/2021"</f>
        <v>31/12/2021</v>
      </c>
      <c r="M1080" t="str">
        <f>""</f>
        <v/>
      </c>
      <c r="N1080" t="str">
        <f>"GBR ROSSETTO S.P.A."</f>
        <v>GBR ROSSETTO S.P.A.</v>
      </c>
      <c r="O1080" t="str">
        <f>"GBR ROSSETTO S.P.A."</f>
        <v>GBR ROSSETTO S.P.A.</v>
      </c>
      <c r="P1080" t="str">
        <f>"ZB6185700E: [4739.28€ ]"</f>
        <v>ZB6185700E: [4739.28€ ]</v>
      </c>
      <c r="Q1080" t="str">
        <f>""</f>
        <v/>
      </c>
      <c r="R1080" t="str">
        <f>""</f>
        <v/>
      </c>
      <c r="S1080" t="str">
        <f>""</f>
        <v/>
      </c>
      <c r="T1080" t="str">
        <f>"https://portaletrasparenza.consorziobacchiglione.it/dettagli/attodigara/77/fornitura-materiale-di-cancelleria.html"</f>
        <v>https://portaletrasparenza.consorziobacchiglione.it/dettagli/attodigara/77/fornitura-materiale-di-cancelleria.html</v>
      </c>
      <c r="U1080" t="str">
        <f>""</f>
        <v/>
      </c>
      <c r="V1080">
        <f>(SUBSTITUTE(Tabella1[[#This Row],[Importo di aggiudicazione]],".",","))-(SUBSTITUTE(  SUBSTITUTE(          SUBSTITUTE(Tabella1[[#This Row],[Dettaglio somme liquidate]],Tabella1[[#This Row],[CIG]]&amp;": [",""),"€ ]",""),".",","))</f>
        <v>998.42000000000007</v>
      </c>
    </row>
    <row r="1081" spans="1:22" x14ac:dyDescent="0.3">
      <c r="A1081" t="str">
        <f>"Affidamento"</f>
        <v>Affidamento</v>
      </c>
      <c r="B1081" t="str">
        <f>"Servizio sostitutivo mensa personale periferico anno 2016. UTO PRATIARCATI."</f>
        <v>Servizio sostitutivo mensa personale periferico anno 2016. UTO PRATIARCATI.</v>
      </c>
      <c r="C1081" t="str">
        <f>"Z5D1857D53"</f>
        <v>Z5D1857D53</v>
      </c>
      <c r="D1081" t="str">
        <f>"04/11/2021"</f>
        <v>04/11/2021</v>
      </c>
      <c r="E1081" t="str">
        <f>""</f>
        <v/>
      </c>
      <c r="F1081" t="str">
        <f>""</f>
        <v/>
      </c>
      <c r="G1081" t="str">
        <f>"10454.55"</f>
        <v>10454.55</v>
      </c>
      <c r="H1081" t="str">
        <f>"Consorzio di bonifica Bacchiglione"</f>
        <v>Consorzio di bonifica Bacchiglione</v>
      </c>
      <c r="I1081" t="str">
        <f>"92223390284"</f>
        <v>92223390284</v>
      </c>
      <c r="J1081" t="str">
        <f>"23-AFFIDAMENTO DIRETTO"</f>
        <v>23-AFFIDAMENTO DIRETTO</v>
      </c>
      <c r="K1081" t="str">
        <f>"18/01/2021"</f>
        <v>18/01/2021</v>
      </c>
      <c r="L1081" t="str">
        <f>"08/07/2021"</f>
        <v>08/07/2021</v>
      </c>
      <c r="M1081" t="str">
        <f>""</f>
        <v/>
      </c>
      <c r="N1081" t="str">
        <f>"LA TORRE S.R.L.S."</f>
        <v>LA TORRE S.R.L.S.</v>
      </c>
      <c r="O1081" t="str">
        <f>"LA TORRE S.R.L.S."</f>
        <v>LA TORRE S.R.L.S.</v>
      </c>
      <c r="P1081" t="str">
        <f>"Z5D1857D53: [8728.00€ ]"</f>
        <v>Z5D1857D53: [8728.00€ ]</v>
      </c>
      <c r="Q1081" t="str">
        <f>""</f>
        <v/>
      </c>
      <c r="R1081" t="str">
        <f>""</f>
        <v/>
      </c>
      <c r="S1081" t="str">
        <f>""</f>
        <v/>
      </c>
      <c r="T1081" t="str">
        <f>"https://portaletrasparenza.consorziobacchiglione.it/dettagli/attodigara/63/servizio-sostitutivo-mensa-personale-periferico-anno-2016-uto-pratiarcati.html"</f>
        <v>https://portaletrasparenza.consorziobacchiglione.it/dettagli/attodigara/63/servizio-sostitutivo-mensa-personale-periferico-anno-2016-uto-pratiarcati.html</v>
      </c>
      <c r="U1081" t="str">
        <f>""</f>
        <v/>
      </c>
      <c r="V1081">
        <f>(SUBSTITUTE(Tabella1[[#This Row],[Importo di aggiudicazione]],".",","))-(SUBSTITUTE(  SUBSTITUTE(          SUBSTITUTE(Tabella1[[#This Row],[Dettaglio somme liquidate]],Tabella1[[#This Row],[CIG]]&amp;": [",""),"€ ]",""),".",","))</f>
        <v>1726.5499999999993</v>
      </c>
    </row>
    <row r="1082" spans="1:22" x14ac:dyDescent="0.3">
      <c r="A1082" t="str">
        <f>"Affidamento"</f>
        <v>Affidamento</v>
      </c>
      <c r="B1082" t="str">
        <f>"Servizio sostitutivo mensa personale periferico anno 2016. UTO PRATIARCATI."</f>
        <v>Servizio sostitutivo mensa personale periferico anno 2016. UTO PRATIARCATI.</v>
      </c>
      <c r="C1082" t="str">
        <f>"Z291857E04"</f>
        <v>Z291857E04</v>
      </c>
      <c r="D1082" t="str">
        <f>"04/11/2021"</f>
        <v>04/11/2021</v>
      </c>
      <c r="E1082" t="str">
        <f>""</f>
        <v/>
      </c>
      <c r="F1082" t="str">
        <f>""</f>
        <v/>
      </c>
      <c r="G1082" t="str">
        <f>"5454.55"</f>
        <v>5454.55</v>
      </c>
      <c r="H1082" t="str">
        <f>"Consorzio di bonifica Bacchiglione"</f>
        <v>Consorzio di bonifica Bacchiglione</v>
      </c>
      <c r="I1082" t="str">
        <f>"92223390284"</f>
        <v>92223390284</v>
      </c>
      <c r="J1082" t="str">
        <f>"23-AFFIDAMENTO DIRETTO"</f>
        <v>23-AFFIDAMENTO DIRETTO</v>
      </c>
      <c r="K1082" t="str">
        <f>"18/01/2021"</f>
        <v>18/01/2021</v>
      </c>
      <c r="L1082" t="str">
        <f>"31/12/2021"</f>
        <v>31/12/2021</v>
      </c>
      <c r="M1082" t="str">
        <f>""</f>
        <v/>
      </c>
      <c r="N1082" t="str">
        <f>"TRATTORIA AI FERRI S.N.C. DI RAMPAZZO A. E B."</f>
        <v>TRATTORIA AI FERRI S.N.C. DI RAMPAZZO A. E B.</v>
      </c>
      <c r="O1082" t="str">
        <f>"TRATTORIA AI FERRI S.N.C. DI RAMPAZZO A. E B."</f>
        <v>TRATTORIA AI FERRI S.N.C. DI RAMPAZZO A. E B.</v>
      </c>
      <c r="P1082" t="str">
        <f>"Z291857E04: [3065.45€ ]"</f>
        <v>Z291857E04: [3065.45€ ]</v>
      </c>
      <c r="Q1082" t="str">
        <f>""</f>
        <v/>
      </c>
      <c r="R1082" t="str">
        <f>""</f>
        <v/>
      </c>
      <c r="S1082" t="str">
        <f>""</f>
        <v/>
      </c>
      <c r="T1082" t="str">
        <f>"https://portaletrasparenza.consorziobacchiglione.it/dettagli/attodigara/64/servizio-sostitutivo-mensa-personale-periferico-anno-2016-uto-pratiarcati.html"</f>
        <v>https://portaletrasparenza.consorziobacchiglione.it/dettagli/attodigara/64/servizio-sostitutivo-mensa-personale-periferico-anno-2016-uto-pratiarcati.html</v>
      </c>
      <c r="U1082" t="str">
        <f>""</f>
        <v/>
      </c>
      <c r="V1082">
        <f>(SUBSTITUTE(Tabella1[[#This Row],[Importo di aggiudicazione]],".",","))-(SUBSTITUTE(  SUBSTITUTE(          SUBSTITUTE(Tabella1[[#This Row],[Dettaglio somme liquidate]],Tabella1[[#This Row],[CIG]]&amp;": [",""),"€ ]",""),".",","))</f>
        <v>2389.1000000000004</v>
      </c>
    </row>
    <row r="1083" spans="1:22" x14ac:dyDescent="0.3">
      <c r="A1083" t="str">
        <f>"Affidamento"</f>
        <v>Affidamento</v>
      </c>
      <c r="B1083" t="str">
        <f>"Servizio sostitutivo mensa personale periferico anno 2016 - UTO SESTA PRESA"</f>
        <v>Servizio sostitutivo mensa personale periferico anno 2016 - UTO SESTA PRESA</v>
      </c>
      <c r="C1083" t="str">
        <f>"Z6F185795A"</f>
        <v>Z6F185795A</v>
      </c>
      <c r="D1083" t="str">
        <f>"04/11/2021"</f>
        <v>04/11/2021</v>
      </c>
      <c r="E1083" t="str">
        <f>""</f>
        <v/>
      </c>
      <c r="F1083" t="str">
        <f>""</f>
        <v/>
      </c>
      <c r="G1083" t="str">
        <f>"3636.36"</f>
        <v>3636.36</v>
      </c>
      <c r="H1083" t="str">
        <f>"Consorzio di bonifica Bacchiglione"</f>
        <v>Consorzio di bonifica Bacchiglione</v>
      </c>
      <c r="I1083" t="str">
        <f>"92223390284"</f>
        <v>92223390284</v>
      </c>
      <c r="J1083" t="str">
        <f>"23-AFFIDAMENTO DIRETTO"</f>
        <v>23-AFFIDAMENTO DIRETTO</v>
      </c>
      <c r="K1083" t="str">
        <f>"18/01/2021"</f>
        <v>18/01/2021</v>
      </c>
      <c r="L1083" t="str">
        <f>"31/12/2021"</f>
        <v>31/12/2021</v>
      </c>
      <c r="M1083" t="str">
        <f>""</f>
        <v/>
      </c>
      <c r="N1083" t="str">
        <f>"TRATTORIA BETTINI DI BETTINI FLORINDO"</f>
        <v>TRATTORIA BETTINI DI BETTINI FLORINDO</v>
      </c>
      <c r="O1083" t="str">
        <f>"TRATTORIA BETTINI DI BETTINI FLORINDO"</f>
        <v>TRATTORIA BETTINI DI BETTINI FLORINDO</v>
      </c>
      <c r="P1083" t="str">
        <f>"Z6F185795A: [1101.81€ ]"</f>
        <v>Z6F185795A: [1101.81€ ]</v>
      </c>
      <c r="Q1083" t="str">
        <f>""</f>
        <v/>
      </c>
      <c r="R1083" t="str">
        <f>""</f>
        <v/>
      </c>
      <c r="S1083" t="str">
        <f>""</f>
        <v/>
      </c>
      <c r="T1083" t="str">
        <f>"https://portaletrasparenza.consorziobacchiglione.it/dettagli/attodigara/59/servizio-sostitutivo-mensa-personale-periferico-anno-2016-uto-sesta-presa.html"</f>
        <v>https://portaletrasparenza.consorziobacchiglione.it/dettagli/attodigara/59/servizio-sostitutivo-mensa-personale-periferico-anno-2016-uto-sesta-presa.html</v>
      </c>
      <c r="U1083" t="str">
        <f>""</f>
        <v/>
      </c>
      <c r="V1083">
        <f>(SUBSTITUTE(Tabella1[[#This Row],[Importo di aggiudicazione]],".",","))-(SUBSTITUTE(  SUBSTITUTE(          SUBSTITUTE(Tabella1[[#This Row],[Dettaglio somme liquidate]],Tabella1[[#This Row],[CIG]]&amp;": [",""),"€ ]",""),".",","))</f>
        <v>2534.5500000000002</v>
      </c>
    </row>
    <row r="1084" spans="1:22" x14ac:dyDescent="0.3">
      <c r="A1084" t="str">
        <f>"Affidamento"</f>
        <v>Affidamento</v>
      </c>
      <c r="B1084" t="str">
        <f>"Servizio sostitutivo mensa personale periferico anno 2016 - UTO SESTA PRESA"</f>
        <v>Servizio sostitutivo mensa personale periferico anno 2016 - UTO SESTA PRESA</v>
      </c>
      <c r="C1084" t="str">
        <f>"ZED1857BF0"</f>
        <v>ZED1857BF0</v>
      </c>
      <c r="D1084" t="str">
        <f>"04/11/2021"</f>
        <v>04/11/2021</v>
      </c>
      <c r="E1084" t="str">
        <f>""</f>
        <v/>
      </c>
      <c r="F1084" t="str">
        <f>""</f>
        <v/>
      </c>
      <c r="G1084" t="str">
        <f>"3181.82"</f>
        <v>3181.82</v>
      </c>
      <c r="H1084" t="str">
        <f>"Consorzio di bonifica Bacchiglione"</f>
        <v>Consorzio di bonifica Bacchiglione</v>
      </c>
      <c r="I1084" t="str">
        <f>"92223390284"</f>
        <v>92223390284</v>
      </c>
      <c r="J1084" t="str">
        <f>"23-AFFIDAMENTO DIRETTO"</f>
        <v>23-AFFIDAMENTO DIRETTO</v>
      </c>
      <c r="K1084" t="str">
        <f>"18/01/2021"</f>
        <v>18/01/2021</v>
      </c>
      <c r="L1084" t="str">
        <f>"31/12/2021"</f>
        <v>31/12/2021</v>
      </c>
      <c r="M1084" t="str">
        <f>""</f>
        <v/>
      </c>
      <c r="N1084" t="str">
        <f>"TRATTORIA DA MARIO S.A.S. DI PIRAN GIOVANNI E C."</f>
        <v>TRATTORIA DA MARIO S.A.S. DI PIRAN GIOVANNI E C.</v>
      </c>
      <c r="O1084" t="str">
        <f>"TRATTORIA DA MARIO S.A.S. DI PIRAN GIOVANNI E C."</f>
        <v>TRATTORIA DA MARIO S.A.S. DI PIRAN GIOVANNI E C.</v>
      </c>
      <c r="P1084" t="str">
        <f>"ZED1857BF0: [0.00€ ]"</f>
        <v>ZED1857BF0: [0.00€ ]</v>
      </c>
      <c r="Q1084" t="str">
        <f>""</f>
        <v/>
      </c>
      <c r="R1084" t="str">
        <f>""</f>
        <v/>
      </c>
      <c r="S1084" t="str">
        <f>""</f>
        <v/>
      </c>
      <c r="T1084" t="str">
        <f>"https://portaletrasparenza.consorziobacchiglione.it/dettagli/attodigara/60/servizio-sostitutivo-mensa-personale-periferico-anno-2016-uto-sesta-presa.html"</f>
        <v>https://portaletrasparenza.consorziobacchiglione.it/dettagli/attodigara/60/servizio-sostitutivo-mensa-personale-periferico-anno-2016-uto-sesta-presa.html</v>
      </c>
      <c r="U1084" t="str">
        <f>""</f>
        <v/>
      </c>
      <c r="V1084">
        <f>(SUBSTITUTE(Tabella1[[#This Row],[Importo di aggiudicazione]],".",","))-(SUBSTITUTE(  SUBSTITUTE(          SUBSTITUTE(Tabella1[[#This Row],[Dettaglio somme liquidate]],Tabella1[[#This Row],[CIG]]&amp;": [",""),"€ ]",""),".",","))</f>
        <v>3181.82</v>
      </c>
    </row>
    <row r="1085" spans="1:22" x14ac:dyDescent="0.3">
      <c r="A1085" t="str">
        <f>"Affidamento"</f>
        <v>Affidamento</v>
      </c>
      <c r="B1085" t="str">
        <f>"Servizio sostitutivo di mensa anno 2016. UTO Sesta Presa."</f>
        <v>Servizio sostitutivo di mensa anno 2016. UTO Sesta Presa.</v>
      </c>
      <c r="C1085" t="str">
        <f>"ZBE1857622"</f>
        <v>ZBE1857622</v>
      </c>
      <c r="D1085" t="str">
        <f>"04/11/2021"</f>
        <v>04/11/2021</v>
      </c>
      <c r="E1085" t="str">
        <f>""</f>
        <v/>
      </c>
      <c r="F1085" t="str">
        <f>""</f>
        <v/>
      </c>
      <c r="G1085" t="str">
        <f>"11818.18"</f>
        <v>11818.18</v>
      </c>
      <c r="H1085" t="str">
        <f>"Consorzio di bonifica Bacchiglione"</f>
        <v>Consorzio di bonifica Bacchiglione</v>
      </c>
      <c r="I1085" t="str">
        <f>"92223390284"</f>
        <v>92223390284</v>
      </c>
      <c r="J1085" t="str">
        <f>"23-AFFIDAMENTO DIRETTO"</f>
        <v>23-AFFIDAMENTO DIRETTO</v>
      </c>
      <c r="K1085" t="str">
        <f>"18/01/2021"</f>
        <v>18/01/2021</v>
      </c>
      <c r="L1085" t="str">
        <f>"03/11/2021"</f>
        <v>03/11/2021</v>
      </c>
      <c r="M1085" t="str">
        <f>""</f>
        <v/>
      </c>
      <c r="N1085" t="str">
        <f>"B.B.C. SERVIZI SRL - RISTORANTE LAGUNA BLU"</f>
        <v>B.B.C. SERVIZI SRL - RISTORANTE LAGUNA BLU</v>
      </c>
      <c r="O1085" t="str">
        <f>"B.B.C. SERVIZI SRL - RISTORANTE LAGUNA BLU"</f>
        <v>B.B.C. SERVIZI SRL - RISTORANTE LAGUNA BLU</v>
      </c>
      <c r="P1085" t="str">
        <f>"ZBE1857622: [7687.50€ ]"</f>
        <v>ZBE1857622: [7687.50€ ]</v>
      </c>
      <c r="Q1085" t="str">
        <f>""</f>
        <v/>
      </c>
      <c r="R1085" t="str">
        <f>""</f>
        <v/>
      </c>
      <c r="S1085" t="str">
        <f>""</f>
        <v/>
      </c>
      <c r="T1085" t="str">
        <f>"https://portaletrasparenza.consorziobacchiglione.it/dettagli/attodigara/52/servizio-sostitutivo-di-mensa-anno-2016-uto-sesta-presa.html"</f>
        <v>https://portaletrasparenza.consorziobacchiglione.it/dettagli/attodigara/52/servizio-sostitutivo-di-mensa-anno-2016-uto-sesta-presa.html</v>
      </c>
      <c r="U1085" t="str">
        <f>""</f>
        <v/>
      </c>
      <c r="V1085">
        <f>(SUBSTITUTE(Tabella1[[#This Row],[Importo di aggiudicazione]],".",","))-(SUBSTITUTE(  SUBSTITUTE(          SUBSTITUTE(Tabella1[[#This Row],[Dettaglio somme liquidate]],Tabella1[[#This Row],[CIG]]&amp;": [",""),"€ ]",""),".",","))</f>
        <v>4130.68</v>
      </c>
    </row>
    <row r="1086" spans="1:22" x14ac:dyDescent="0.3">
      <c r="A1086" t="str">
        <f>"Affidamento"</f>
        <v>Affidamento</v>
      </c>
      <c r="B1086" t="str">
        <f>"Servizio sostitutivo mensa personale periferico anno 2016. UTO PRATIARCATI."</f>
        <v>Servizio sostitutivo mensa personale periferico anno 2016. UTO PRATIARCATI.</v>
      </c>
      <c r="C1086" t="str">
        <f>"ZE81857E83"</f>
        <v>ZE81857E83</v>
      </c>
      <c r="D1086" t="str">
        <f>"04/11/2021"</f>
        <v>04/11/2021</v>
      </c>
      <c r="E1086" t="str">
        <f>""</f>
        <v/>
      </c>
      <c r="F1086" t="str">
        <f>""</f>
        <v/>
      </c>
      <c r="G1086" t="str">
        <f>"9090.91"</f>
        <v>9090.91</v>
      </c>
      <c r="H1086" t="str">
        <f>"Consorzio di bonifica Bacchiglione"</f>
        <v>Consorzio di bonifica Bacchiglione</v>
      </c>
      <c r="I1086" t="str">
        <f>"92223390284"</f>
        <v>92223390284</v>
      </c>
      <c r="J1086" t="str">
        <f>"23-AFFIDAMENTO DIRETTO"</f>
        <v>23-AFFIDAMENTO DIRETTO</v>
      </c>
      <c r="K1086" t="str">
        <f>"18/01/2021"</f>
        <v>18/01/2021</v>
      </c>
      <c r="L1086" t="str">
        <f>"31/12/2021"</f>
        <v>31/12/2021</v>
      </c>
      <c r="M1086" t="str">
        <f>""</f>
        <v/>
      </c>
      <c r="N1086" t="str">
        <f>"RISTORANTE ALLE QUERCE DI MACULAN RUGGERO"</f>
        <v>RISTORANTE ALLE QUERCE DI MACULAN RUGGERO</v>
      </c>
      <c r="O1086" t="str">
        <f>"RISTORANTE ALLE QUERCE DI MACULAN RUGGERO"</f>
        <v>RISTORANTE ALLE QUERCE DI MACULAN RUGGERO</v>
      </c>
      <c r="P1086" t="str">
        <f>"ZE81857E83: [2563.62€ ]"</f>
        <v>ZE81857E83: [2563.62€ ]</v>
      </c>
      <c r="Q1086" t="str">
        <f>""</f>
        <v/>
      </c>
      <c r="R1086" t="str">
        <f>""</f>
        <v/>
      </c>
      <c r="S1086" t="str">
        <f>""</f>
        <v/>
      </c>
      <c r="T1086" t="str">
        <f>"https://portaletrasparenza.consorziobacchiglione.it/dettagli/attodigara/65/servizio-sostitutivo-mensa-personale-periferico-anno-2016-uto-pratiarcati.html"</f>
        <v>https://portaletrasparenza.consorziobacchiglione.it/dettagli/attodigara/65/servizio-sostitutivo-mensa-personale-periferico-anno-2016-uto-pratiarcati.html</v>
      </c>
      <c r="U1086" t="str">
        <f>""</f>
        <v/>
      </c>
      <c r="V1086">
        <f>(SUBSTITUTE(Tabella1[[#This Row],[Importo di aggiudicazione]],".",","))-(SUBSTITUTE(  SUBSTITUTE(          SUBSTITUTE(Tabella1[[#This Row],[Dettaglio somme liquidate]],Tabella1[[#This Row],[CIG]]&amp;": [",""),"€ ]",""),".",","))</f>
        <v>6527.29</v>
      </c>
    </row>
    <row r="1087" spans="1:22" x14ac:dyDescent="0.3">
      <c r="A1087" t="str">
        <f>"Affidamento"</f>
        <v>Affidamento</v>
      </c>
      <c r="B1087" t="str">
        <f>"Servizio sostitutivo mensa personale periferico anno 2016. UTO PRATIARCATI"</f>
        <v>Servizio sostitutivo mensa personale periferico anno 2016. UTO PRATIARCATI</v>
      </c>
      <c r="C1087" t="str">
        <f>"Z1D1857CBE"</f>
        <v>Z1D1857CBE</v>
      </c>
      <c r="D1087" t="str">
        <f>"04/11/2021"</f>
        <v>04/11/2021</v>
      </c>
      <c r="E1087" t="str">
        <f>""</f>
        <v/>
      </c>
      <c r="F1087" t="str">
        <f>""</f>
        <v/>
      </c>
      <c r="G1087" t="str">
        <f>"7272.73"</f>
        <v>7272.73</v>
      </c>
      <c r="H1087" t="str">
        <f>"Consorzio di bonifica Bacchiglione"</f>
        <v>Consorzio di bonifica Bacchiglione</v>
      </c>
      <c r="I1087" t="str">
        <f>"92223390284"</f>
        <v>92223390284</v>
      </c>
      <c r="J1087" t="str">
        <f>"23-AFFIDAMENTO DIRETTO"</f>
        <v>23-AFFIDAMENTO DIRETTO</v>
      </c>
      <c r="K1087" t="str">
        <f>"18/01/2021"</f>
        <v>18/01/2021</v>
      </c>
      <c r="L1087" t="str">
        <f>"31/12/2021"</f>
        <v>31/12/2021</v>
      </c>
      <c r="M1087" t="str">
        <f>""</f>
        <v/>
      </c>
      <c r="N1087" t="str">
        <f>"LO SVAGO S.N.C. DI MUNTEAN I. E ORBU V."</f>
        <v>LO SVAGO S.N.C. DI MUNTEAN I. E ORBU V.</v>
      </c>
      <c r="O1087" t="str">
        <f>"LO SVAGO S.N.C. DI MUNTEAN I. E ORBU V."</f>
        <v>LO SVAGO S.N.C. DI MUNTEAN I. E ORBU V.</v>
      </c>
      <c r="P1087" t="str">
        <f>"Z1D1857CBE: [0.00€ ]"</f>
        <v>Z1D1857CBE: [0.00€ ]</v>
      </c>
      <c r="Q1087" t="str">
        <f>""</f>
        <v/>
      </c>
      <c r="R1087" t="str">
        <f>""</f>
        <v/>
      </c>
      <c r="S1087" t="str">
        <f>""</f>
        <v/>
      </c>
      <c r="T1087" t="str">
        <f>"https://portaletrasparenza.consorziobacchiglione.it/dettagli/attodigara/62/servizio-sostitutivo-mensa-personale-periferico-anno-2016-uto-pratiarcati.html"</f>
        <v>https://portaletrasparenza.consorziobacchiglione.it/dettagli/attodigara/62/servizio-sostitutivo-mensa-personale-periferico-anno-2016-uto-pratiarcati.html</v>
      </c>
      <c r="U1087" t="str">
        <f>""</f>
        <v/>
      </c>
      <c r="V1087">
        <f>(SUBSTITUTE(Tabella1[[#This Row],[Importo di aggiudicazione]],".",","))-(SUBSTITUTE(  SUBSTITUTE(          SUBSTITUTE(Tabella1[[#This Row],[Dettaglio somme liquidate]],Tabella1[[#This Row],[CIG]]&amp;": [",""),"€ ]",""),".",","))</f>
        <v>7272.73</v>
      </c>
    </row>
    <row r="1088" spans="1:22" x14ac:dyDescent="0.3">
      <c r="A1088" t="str">
        <f>"Affidamento"</f>
        <v>Affidamento</v>
      </c>
      <c r="B1088" t="str">
        <f>"Realizzazione della segnaletica orizzontale presso il ponte di Via Boligo (Campolongo Maggiore)"</f>
        <v>Realizzazione della segnaletica orizzontale presso il ponte di Via Boligo (Campolongo Maggiore)</v>
      </c>
      <c r="C1088" t="str">
        <f>"ZBC30391FB"</f>
        <v>ZBC30391FB</v>
      </c>
      <c r="D1088" t="str">
        <f>"19/01/2021"</f>
        <v>19/01/2021</v>
      </c>
      <c r="E1088" t="str">
        <f>""</f>
        <v/>
      </c>
      <c r="F1088" t="str">
        <f>""</f>
        <v/>
      </c>
      <c r="G1088" t="str">
        <f>"500.00"</f>
        <v>500.00</v>
      </c>
      <c r="H1088" t="str">
        <f>"Consorzio di bonifica Bacchiglione"</f>
        <v>Consorzio di bonifica Bacchiglione</v>
      </c>
      <c r="I1088" t="str">
        <f>"92223390284"</f>
        <v>92223390284</v>
      </c>
      <c r="J1088" t="str">
        <f>"23-AFFIDAMENTO DIRETTO"</f>
        <v>23-AFFIDAMENTO DIRETTO</v>
      </c>
      <c r="K1088" t="str">
        <f>"18/01/2021"</f>
        <v>18/01/2021</v>
      </c>
      <c r="L1088" t="str">
        <f>"13/04/2021"</f>
        <v>13/04/2021</v>
      </c>
      <c r="M1088" t="str">
        <f>""</f>
        <v/>
      </c>
      <c r="N1088" t="str">
        <f>"Euganea Segnaletica s.r.l."</f>
        <v>Euganea Segnaletica s.r.l.</v>
      </c>
      <c r="O1088" t="str">
        <f>"Euganea Segnaletica s.r.l."</f>
        <v>Euganea Segnaletica s.r.l.</v>
      </c>
      <c r="P1088" t="str">
        <f>"ZBC30391FB: [500.00€ ]"</f>
        <v>ZBC30391FB: [500.00€ ]</v>
      </c>
      <c r="Q1088" t="str">
        <f>""</f>
        <v/>
      </c>
      <c r="R1088" t="str">
        <f>""</f>
        <v/>
      </c>
      <c r="S1088" t="str">
        <f>""</f>
        <v/>
      </c>
      <c r="T1088" t="str">
        <f>"https://portaletrasparenza.consorziobacchiglione.it/dettagli/attodigara/6560/realizzazione-della-segnaletica-orizzontale-presso-il-ponte-di-via-boligo-campolongo-maggiore.html"</f>
        <v>https://portaletrasparenza.consorziobacchiglione.it/dettagli/attodigara/6560/realizzazione-della-segnaletica-orizzontale-presso-il-ponte-di-via-boligo-campolongo-maggiore.html</v>
      </c>
      <c r="U1088" t="str">
        <f>"https://portaletrasparenza.consorziobacchiglione.it/download/attodigara/6560/63ac454bba63c.PDF"</f>
        <v>https://portaletrasparenza.consorziobacchiglione.it/download/attodigara/6560/63ac454bba63c.PDF</v>
      </c>
      <c r="V108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89" spans="1:22" x14ac:dyDescent="0.3">
      <c r="A1089" t="str">
        <f>"Affidamento"</f>
        <v>Affidamento</v>
      </c>
      <c r="B1089" t="str">
        <f>"Fornitura n.2 Termoventilatore Mod.Volcano R 3300 per C.O.S.Margherita"</f>
        <v>Fornitura n.2 Termoventilatore Mod.Volcano R 3300 per C.O.S.Margherita</v>
      </c>
      <c r="C1089" t="str">
        <f>"Z993038F69"</f>
        <v>Z993038F69</v>
      </c>
      <c r="D1089" t="str">
        <f>"19/01/2021"</f>
        <v>19/01/2021</v>
      </c>
      <c r="E1089" t="str">
        <f>""</f>
        <v/>
      </c>
      <c r="F1089" t="str">
        <f>""</f>
        <v/>
      </c>
      <c r="G1089" t="str">
        <f>"843.86"</f>
        <v>843.86</v>
      </c>
      <c r="H1089" t="str">
        <f>"Consorzio di bonifica Bacchiglione"</f>
        <v>Consorzio di bonifica Bacchiglione</v>
      </c>
      <c r="I1089" t="str">
        <f>"92223390284"</f>
        <v>92223390284</v>
      </c>
      <c r="J1089" t="str">
        <f>"23-AFFIDAMENTO DIRETTO"</f>
        <v>23-AFFIDAMENTO DIRETTO</v>
      </c>
      <c r="K1089" t="str">
        <f>"18/01/2021"</f>
        <v>18/01/2021</v>
      </c>
      <c r="L1089" t="str">
        <f>"28/02/2021"</f>
        <v>28/02/2021</v>
      </c>
      <c r="M1089" t="str">
        <f>""</f>
        <v/>
      </c>
      <c r="N1089" t="str">
        <f>"Elettroveneta S.p.A. Viale della Navigazione Interna, 48 - 35129 Padova (PD)"</f>
        <v>Elettroveneta S.p.A. Viale della Navigazione Interna, 48 - 35129 Padova (PD)</v>
      </c>
      <c r="O1089" t="str">
        <f>"Elettroveneta S.p.A. Viale della Navigazione Interna, 48 - 35129 Padova (PD)"</f>
        <v>Elettroveneta S.p.A. Viale della Navigazione Interna, 48 - 35129 Padova (PD)</v>
      </c>
      <c r="P1089" t="str">
        <f>"Z993038F69: [843.86€ ]"</f>
        <v>Z993038F69: [843.86€ ]</v>
      </c>
      <c r="Q1089" t="str">
        <f>""</f>
        <v/>
      </c>
      <c r="R1089" t="str">
        <f>""</f>
        <v/>
      </c>
      <c r="S1089" t="str">
        <f>""</f>
        <v/>
      </c>
      <c r="T1089" t="str">
        <f>"https://portaletrasparenza.consorziobacchiglione.it/dettagli/attodigara/6559/fornitura-n-2-termoventilatore-mod-volcano-r-3300-per-c-o-s-margherita.html"</f>
        <v>https://portaletrasparenza.consorziobacchiglione.it/dettagli/attodigara/6559/fornitura-n-2-termoventilatore-mod-volcano-r-3300-per-c-o-s-margherita.html</v>
      </c>
      <c r="U1089" t="str">
        <f>"https://portaletrasparenza.consorziobacchiglione.it/download/attodigara/6559/63ac454b82194.PDF"</f>
        <v>https://portaletrasparenza.consorziobacchiglione.it/download/attodigara/6559/63ac454b82194.PDF</v>
      </c>
      <c r="V10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90" spans="1:22" x14ac:dyDescent="0.3">
      <c r="A1090" t="str">
        <f>"Affidamento"</f>
        <v>Affidamento</v>
      </c>
      <c r="B1090" t="str">
        <f>"Fornitura n.1 Battipalo Malaguti Mod.PM401B Completo di pinza per pali in legno - sella attacco SW48 per Montà Portello - Colli Euganei"</f>
        <v>Fornitura n.1 Battipalo Malaguti Mod.PM401B Completo di pinza per pali in legno - sella attacco SW48 per Montà Portello - Colli Euganei</v>
      </c>
      <c r="C1090" t="str">
        <f>"ZCA3038DE9"</f>
        <v>ZCA3038DE9</v>
      </c>
      <c r="D1090" t="str">
        <f>"19/01/2021"</f>
        <v>19/01/2021</v>
      </c>
      <c r="E1090" t="str">
        <f>""</f>
        <v/>
      </c>
      <c r="F1090" t="str">
        <f>""</f>
        <v/>
      </c>
      <c r="G1090" t="str">
        <f>"8500.00"</f>
        <v>8500.00</v>
      </c>
      <c r="H1090" t="str">
        <f>"Consorzio di bonifica Bacchiglione"</f>
        <v>Consorzio di bonifica Bacchiglione</v>
      </c>
      <c r="I1090" t="str">
        <f>"92223390284"</f>
        <v>92223390284</v>
      </c>
      <c r="J1090" t="str">
        <f>"23-AFFIDAMENTO DIRETTO"</f>
        <v>23-AFFIDAMENTO DIRETTO</v>
      </c>
      <c r="K1090" t="str">
        <f>"18/01/2021"</f>
        <v>18/01/2021</v>
      </c>
      <c r="L1090" t="str">
        <f>"17/02/2021"</f>
        <v>17/02/2021</v>
      </c>
      <c r="M1090" t="str">
        <f>""</f>
        <v/>
      </c>
      <c r="N1090" t="str">
        <f>"Adriatica Commerciale Macchine s.r.l. Via dell'Artigianato 5 35020 Due Carrare PD"</f>
        <v>Adriatica Commerciale Macchine s.r.l. Via dell'Artigianato 5 35020 Due Carrare PD</v>
      </c>
      <c r="O1090" t="str">
        <f>"Adriatica Commerciale Macchine s.r.l. Via dell'Artigianato 5 35020 Due Carrare PD"</f>
        <v>Adriatica Commerciale Macchine s.r.l. Via dell'Artigianato 5 35020 Due Carrare PD</v>
      </c>
      <c r="P1090" t="str">
        <f>"ZCA3038DE9: [8500.00€ ]"</f>
        <v>ZCA3038DE9: [8500.00€ ]</v>
      </c>
      <c r="Q1090" t="str">
        <f>""</f>
        <v/>
      </c>
      <c r="R1090" t="str">
        <f>""</f>
        <v/>
      </c>
      <c r="S1090" t="str">
        <f>""</f>
        <v/>
      </c>
      <c r="T1090" t="str">
        <f>"https://portaletrasparenza.consorziobacchiglione.it/dettagli/attodigara/6558/fornitura-n-1-battipalo-malaguti-mod-pm401b-completo-di-pinza-per-pali-in-legno-sella-attacco-sw48-per-monta-portello-colli-euganei.html"</f>
        <v>https://portaletrasparenza.consorziobacchiglione.it/dettagli/attodigara/6558/fornitura-n-1-battipalo-malaguti-mod-pm401b-completo-di-pinza-per-pali-in-legno-sella-attacco-sw48-per-monta-portello-colli-euganei.html</v>
      </c>
      <c r="U1090" t="str">
        <f>"https://portaletrasparenza.consorziobacchiglione.it/download/attodigara/6558/63ac454b49bb4.PDF"</f>
        <v>https://portaletrasparenza.consorziobacchiglione.it/download/attodigara/6558/63ac454b49bb4.PDF</v>
      </c>
      <c r="V10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91" spans="1:22" x14ac:dyDescent="0.3">
      <c r="A1091" t="str">
        <f>"Affidamento"</f>
        <v>Affidamento</v>
      </c>
      <c r="B1091" t="str">
        <f>"Fornitura n.1 estintore ABC kg 9 piu cassetta Utah presso Idrovora Ponte di Riva"</f>
        <v>Fornitura n.1 estintore ABC kg 9 piu cassetta Utah presso Idrovora Ponte di Riva</v>
      </c>
      <c r="C1091" t="str">
        <f>"Z3D3035F15"</f>
        <v>Z3D3035F15</v>
      </c>
      <c r="D1091" t="str">
        <f>"19/01/2021"</f>
        <v>19/01/2021</v>
      </c>
      <c r="E1091" t="str">
        <f>""</f>
        <v/>
      </c>
      <c r="F1091" t="str">
        <f>""</f>
        <v/>
      </c>
      <c r="G1091" t="str">
        <f>"119.70"</f>
        <v>119.70</v>
      </c>
      <c r="H1091" t="str">
        <f>"Consorzio di bonifica Bacchiglione"</f>
        <v>Consorzio di bonifica Bacchiglione</v>
      </c>
      <c r="I1091" t="str">
        <f>"92223390284"</f>
        <v>92223390284</v>
      </c>
      <c r="J1091" t="str">
        <f>"23-AFFIDAMENTO DIRETTO"</f>
        <v>23-AFFIDAMENTO DIRETTO</v>
      </c>
      <c r="K1091" t="str">
        <f>"18/01/2021"</f>
        <v>18/01/2021</v>
      </c>
      <c r="L1091" t="str">
        <f>"24/02/2021"</f>
        <v>24/02/2021</v>
      </c>
      <c r="M1091" t="str">
        <f>""</f>
        <v/>
      </c>
      <c r="N1091" t="str">
        <f>"Bergamaschi Antincendi Antinfortunistica Padova s.r.l. Via G. Galilei 2-I 35030 Caselle di Selvazzano PD"</f>
        <v>Bergamaschi Antincendi Antinfortunistica Padova s.r.l. Via G. Galilei 2-I 35030 Caselle di Selvazzano PD</v>
      </c>
      <c r="O1091" t="str">
        <f>"Bergamaschi Antincendi Antinfortunistica Padova s.r.l. Via G. Galilei 2-I 35030 Caselle di Selvazzano PD"</f>
        <v>Bergamaschi Antincendi Antinfortunistica Padova s.r.l. Via G. Galilei 2-I 35030 Caselle di Selvazzano PD</v>
      </c>
      <c r="P1091" t="str">
        <f>"Z3D3035F15: [119.70€ ]"</f>
        <v>Z3D3035F15: [119.70€ ]</v>
      </c>
      <c r="Q1091" t="str">
        <f>""</f>
        <v/>
      </c>
      <c r="R1091" t="str">
        <f>""</f>
        <v/>
      </c>
      <c r="S1091" t="str">
        <f>""</f>
        <v/>
      </c>
      <c r="T1091" t="str">
        <f>"https://portaletrasparenza.consorziobacchiglione.it/dettagli/attodigara/6557/fornitura-n-1-estintore-abc-kg-9-piu-cassetta-utah-presso-idrovora-ponte-di-riva.html"</f>
        <v>https://portaletrasparenza.consorziobacchiglione.it/dettagli/attodigara/6557/fornitura-n-1-estintore-abc-kg-9-piu-cassetta-utah-presso-idrovora-ponte-di-riva.html</v>
      </c>
      <c r="U1091" t="str">
        <f>"https://portaletrasparenza.consorziobacchiglione.it/download/attodigara/6557/63ac454b10c50.PDF"</f>
        <v>https://portaletrasparenza.consorziobacchiglione.it/download/attodigara/6557/63ac454b10c50.PDF</v>
      </c>
      <c r="V10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92" spans="1:22" x14ac:dyDescent="0.3">
      <c r="A1092" t="str">
        <f>"Affidamento"</f>
        <v>Affidamento</v>
      </c>
      <c r="B1092" t="str">
        <f>"Fornitura e posa pensilina in vetro temperato completo di tiranti presso C.O. Porta Trento"</f>
        <v>Fornitura e posa pensilina in vetro temperato completo di tiranti presso C.O. Porta Trento</v>
      </c>
      <c r="C1092" t="str">
        <f>"Z2B30279B4"</f>
        <v>Z2B30279B4</v>
      </c>
      <c r="D1092" t="str">
        <f>"19/01/2021"</f>
        <v>19/01/2021</v>
      </c>
      <c r="E1092" t="str">
        <f>""</f>
        <v/>
      </c>
      <c r="F1092" t="str">
        <f>""</f>
        <v/>
      </c>
      <c r="G1092" t="str">
        <f>"1200.00"</f>
        <v>1200.00</v>
      </c>
      <c r="H1092" t="str">
        <f>"Consorzio di bonifica Bacchiglione"</f>
        <v>Consorzio di bonifica Bacchiglione</v>
      </c>
      <c r="I1092" t="str">
        <f>"92223390284"</f>
        <v>92223390284</v>
      </c>
      <c r="J1092" t="str">
        <f>"23-AFFIDAMENTO DIRETTO"</f>
        <v>23-AFFIDAMENTO DIRETTO</v>
      </c>
      <c r="K1092" t="str">
        <f>"18/01/2021"</f>
        <v>18/01/2021</v>
      </c>
      <c r="L1092" t="str">
        <f>"31/12/2021"</f>
        <v>31/12/2021</v>
      </c>
      <c r="M1092" t="str">
        <f>""</f>
        <v/>
      </c>
      <c r="N1092" t="str">
        <f>"Vetreria Fasolato SNC Via D.Menin, 48 B 30010 Camponogara (VE)"</f>
        <v>Vetreria Fasolato SNC Via D.Menin, 48 B 30010 Camponogara (VE)</v>
      </c>
      <c r="O1092" t="str">
        <f>"Vetreria Fasolato SNC Via D.Menin, 48 B 30010 Camponogara (VE)"</f>
        <v>Vetreria Fasolato SNC Via D.Menin, 48 B 30010 Camponogara (VE)</v>
      </c>
      <c r="P1092" t="str">
        <f>"Z2B30279B4: [0.00€ ]"</f>
        <v>Z2B30279B4: [0.00€ ]</v>
      </c>
      <c r="Q1092" t="str">
        <f>""</f>
        <v/>
      </c>
      <c r="R1092" t="str">
        <f>""</f>
        <v/>
      </c>
      <c r="S1092" t="str">
        <f>""</f>
        <v/>
      </c>
      <c r="T1092" t="str">
        <f>"https://portaletrasparenza.consorziobacchiglione.it/dettagli/attodigara/6556/fornitura-e-posa-pensilina-in-vetro-temperato-completo-di-tiranti-presso-c-o-porta-trento.html"</f>
        <v>https://portaletrasparenza.consorziobacchiglione.it/dettagli/attodigara/6556/fornitura-e-posa-pensilina-in-vetro-temperato-completo-di-tiranti-presso-c-o-porta-trento.html</v>
      </c>
      <c r="U1092" t="str">
        <f>"https://portaletrasparenza.consorziobacchiglione.it/download/attodigara/6556/62a2095c8771c.PDF"</f>
        <v>https://portaletrasparenza.consorziobacchiglione.it/download/attodigara/6556/62a2095c8771c.PDF</v>
      </c>
      <c r="V1092">
        <f>(SUBSTITUTE(Tabella1[[#This Row],[Importo di aggiudicazione]],".",","))-(SUBSTITUTE(  SUBSTITUTE(          SUBSTITUTE(Tabella1[[#This Row],[Dettaglio somme liquidate]],Tabella1[[#This Row],[CIG]]&amp;": [",""),"€ ]",""),".",","))</f>
        <v>1200</v>
      </c>
    </row>
    <row r="1093" spans="1:22" x14ac:dyDescent="0.3">
      <c r="A1093" t="str">
        <f>"Affidamento"</f>
        <v>Affidamento</v>
      </c>
      <c r="B1093" t="str">
        <f>"Manutenzione ,riparazione, lavaggio più ingrassaggio mezzi con targa : AHH573, PDAH521, AGK711."</f>
        <v>Manutenzione ,riparazione, lavaggio più ingrassaggio mezzi con targa : AHH573, PDAH521, AGK711.</v>
      </c>
      <c r="C1093" t="str">
        <f>"ZAD1899184"</f>
        <v>ZAD1899184</v>
      </c>
      <c r="D1093" t="str">
        <f>"04/11/2021"</f>
        <v>04/11/2021</v>
      </c>
      <c r="E1093" t="str">
        <f>""</f>
        <v/>
      </c>
      <c r="F1093" t="str">
        <f>""</f>
        <v/>
      </c>
      <c r="G1093" t="str">
        <f>"2549.88"</f>
        <v>2549.88</v>
      </c>
      <c r="H1093" t="str">
        <f>"Consorzio di bonifica Bacchiglione"</f>
        <v>Consorzio di bonifica Bacchiglione</v>
      </c>
      <c r="I1093" t="str">
        <f>"92223390284"</f>
        <v>92223390284</v>
      </c>
      <c r="J1093" t="str">
        <f>"23-AFFIDAMENTO DIRETTO"</f>
        <v>23-AFFIDAMENTO DIRETTO</v>
      </c>
      <c r="K1093" t="str">
        <f>"18/02/2021"</f>
        <v>18/02/2021</v>
      </c>
      <c r="L1093" t="str">
        <f>"03/03/2021"</f>
        <v>03/03/2021</v>
      </c>
      <c r="M1093" t="str">
        <f>""</f>
        <v/>
      </c>
      <c r="N1093" t="str">
        <f>"Officina Biesse S.n.c. Via Matteotti 24 35020 Arzergrande PD"</f>
        <v>Officina Biesse S.n.c. Via Matteotti 24 35020 Arzergrande PD</v>
      </c>
      <c r="O1093" t="str">
        <f>"Officina Biesse S.n.c. Via Matteotti 24 35020 Arzergrande PD"</f>
        <v>Officina Biesse S.n.c. Via Matteotti 24 35020 Arzergrande PD</v>
      </c>
      <c r="P1093" t="str">
        <f>"ZAD1899184: [2549.88€ ]"</f>
        <v>ZAD1899184: [2549.88€ ]</v>
      </c>
      <c r="Q1093" t="str">
        <f>""</f>
        <v/>
      </c>
      <c r="R1093" t="str">
        <f>""</f>
        <v/>
      </c>
      <c r="S1093" t="str">
        <f>""</f>
        <v/>
      </c>
      <c r="T1093" t="str">
        <f>"https://portaletrasparenza.consorziobacchiglione.it/dettagli/attodigara/169/manutenzione-riparazione-lavaggio-piu-ingrassaggio-mezzi-con-targa-ahh573-pdah521-agk711.html"</f>
        <v>https://portaletrasparenza.consorziobacchiglione.it/dettagli/attodigara/169/manutenzione-riparazione-lavaggio-piu-ingrassaggio-mezzi-con-targa-ahh573-pdah521-agk711.html</v>
      </c>
      <c r="U1093" t="str">
        <f>""</f>
        <v/>
      </c>
      <c r="V10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94" spans="1:22" x14ac:dyDescent="0.3">
      <c r="A1094" t="str">
        <f>"Affidamento"</f>
        <v>Affidamento</v>
      </c>
      <c r="B1094" t="str">
        <f>"Fornitura PC , monitor, hard disk per Ing. Veronese."</f>
        <v>Fornitura PC , monitor, hard disk per Ing. Veronese.</v>
      </c>
      <c r="C1094" t="str">
        <f>"Z0C1896DF7"</f>
        <v>Z0C1896DF7</v>
      </c>
      <c r="D1094" t="str">
        <f>"04/11/2021"</f>
        <v>04/11/2021</v>
      </c>
      <c r="E1094" t="str">
        <f>""</f>
        <v/>
      </c>
      <c r="F1094" t="str">
        <f>""</f>
        <v/>
      </c>
      <c r="G1094" t="str">
        <f>"730.00"</f>
        <v>730.00</v>
      </c>
      <c r="H1094" t="str">
        <f>"Consorzio di bonifica Bacchiglione"</f>
        <v>Consorzio di bonifica Bacchiglione</v>
      </c>
      <c r="I1094" t="str">
        <f>"92223390284"</f>
        <v>92223390284</v>
      </c>
      <c r="J1094" t="str">
        <f>"23-AFFIDAMENTO DIRETTO"</f>
        <v>23-AFFIDAMENTO DIRETTO</v>
      </c>
      <c r="K1094" t="str">
        <f>"18/02/2021"</f>
        <v>18/02/2021</v>
      </c>
      <c r="L1094" t="str">
        <f>"18/03/2021"</f>
        <v>18/03/2021</v>
      </c>
      <c r="M1094" t="str">
        <f>""</f>
        <v/>
      </c>
      <c r="N1094" t="str">
        <f>"TPH Elettronica s.a.s. Via N. Pizzolo 51A 35132 Padova"</f>
        <v>TPH Elettronica s.a.s. Via N. Pizzolo 51A 35132 Padova</v>
      </c>
      <c r="O1094" t="str">
        <f>"TPH Elettronica s.a.s. Via N. Pizzolo 51A 35132 Padova"</f>
        <v>TPH Elettronica s.a.s. Via N. Pizzolo 51A 35132 Padova</v>
      </c>
      <c r="P1094" t="str">
        <f>"Z0C1896DF7: [730.00€ ]"</f>
        <v>Z0C1896DF7: [730.00€ ]</v>
      </c>
      <c r="Q1094" t="str">
        <f>""</f>
        <v/>
      </c>
      <c r="R1094" t="str">
        <f>""</f>
        <v/>
      </c>
      <c r="S1094" t="str">
        <f>""</f>
        <v/>
      </c>
      <c r="T1094" t="str">
        <f>"https://portaletrasparenza.consorziobacchiglione.it/dettagli/attodigara/168/fornitura-pc-monitor-hard-disk-per-ing-veronese.html"</f>
        <v>https://portaletrasparenza.consorziobacchiglione.it/dettagli/attodigara/168/fornitura-pc-monitor-hard-disk-per-ing-veronese.html</v>
      </c>
      <c r="U1094" t="str">
        <f>""</f>
        <v/>
      </c>
      <c r="V109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95" spans="1:22" x14ac:dyDescent="0.3">
      <c r="A1095" t="str">
        <f>"Affidamento"</f>
        <v>Affidamento</v>
      </c>
      <c r="B1095" t="str">
        <f>"Assistenza alla redazione delle perizie suppletive e di variante opere civili n° 2 e opere elettromeccaniche n° 1. - Processo ID 006-03."</f>
        <v>Assistenza alla redazione delle perizie suppletive e di variante opere civili n° 2 e opere elettromeccaniche n° 1. - Processo ID 006-03.</v>
      </c>
      <c r="C1095" t="str">
        <f>"Z04189A3B2"</f>
        <v>Z04189A3B2</v>
      </c>
      <c r="D1095" t="str">
        <f>"04/11/2021"</f>
        <v>04/11/2021</v>
      </c>
      <c r="E1095" t="str">
        <f>""</f>
        <v/>
      </c>
      <c r="F1095" t="str">
        <f>""</f>
        <v/>
      </c>
      <c r="G1095" t="str">
        <f>"8840.00"</f>
        <v>8840.00</v>
      </c>
      <c r="H1095" t="str">
        <f>"Consorzio di bonifica Bacchiglione"</f>
        <v>Consorzio di bonifica Bacchiglione</v>
      </c>
      <c r="I1095" t="str">
        <f>"92223390284"</f>
        <v>92223390284</v>
      </c>
      <c r="J1095" t="str">
        <f>"23-AFFIDAMENTO DIRETTO"</f>
        <v>23-AFFIDAMENTO DIRETTO</v>
      </c>
      <c r="K1095" t="str">
        <f>"18/02/2021"</f>
        <v>18/02/2021</v>
      </c>
      <c r="L1095" t="str">
        <f>"28/04/2021"</f>
        <v>28/04/2021</v>
      </c>
      <c r="M1095" t="str">
        <f>""</f>
        <v/>
      </c>
      <c r="N1095" t="str">
        <f>"Studio Tecnico Geometra Gabriele Maragotto"</f>
        <v>Studio Tecnico Geometra Gabriele Maragotto</v>
      </c>
      <c r="O1095" t="str">
        <f>"Studio Tecnico Geometra Gabriele Maragotto"</f>
        <v>Studio Tecnico Geometra Gabriele Maragotto</v>
      </c>
      <c r="P1095" t="str">
        <f>"Z04189A3B2: [8840.00€ ]"</f>
        <v>Z04189A3B2: [8840.00€ ]</v>
      </c>
      <c r="Q1095" t="str">
        <f>""</f>
        <v/>
      </c>
      <c r="R1095" t="str">
        <f>""</f>
        <v/>
      </c>
      <c r="S1095" t="str">
        <f>""</f>
        <v/>
      </c>
      <c r="T1095" t="str">
        <f>"https://portaletrasparenza.consorziobacchiglione.it/dettagli/attodigara/167/assistenza-alla-redazione-delle-perizie-suppletive-e-di-variante-opere-civili-n-2-e-opere-elettromeccaniche-n-1-processo-id-006-03.html"</f>
        <v>https://portaletrasparenza.consorziobacchiglione.it/dettagli/attodigara/167/assistenza-alla-redazione-delle-perizie-suppletive-e-di-variante-opere-civili-n-2-e-opere-elettromeccaniche-n-1-processo-id-006-03.html</v>
      </c>
      <c r="U1095" t="str">
        <f>""</f>
        <v/>
      </c>
      <c r="V109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96" spans="1:22" x14ac:dyDescent="0.3">
      <c r="A1096" t="str">
        <f>"Affidamento"</f>
        <v>Affidamento</v>
      </c>
      <c r="B1096" t="str">
        <f>"Corsi di formazione in ambito sicurezza informatica"</f>
        <v>Corsi di formazione in ambito sicurezza informatica</v>
      </c>
      <c r="C1096" t="str">
        <f>"ZCF30B46E7"</f>
        <v>ZCF30B46E7</v>
      </c>
      <c r="D1096" t="str">
        <f>"19/02/2021"</f>
        <v>19/02/2021</v>
      </c>
      <c r="E1096" t="str">
        <f>""</f>
        <v/>
      </c>
      <c r="F1096" t="str">
        <f>""</f>
        <v/>
      </c>
      <c r="G1096" t="str">
        <f>"760.00"</f>
        <v>760.00</v>
      </c>
      <c r="H1096" t="str">
        <f>"Consorzio di bonifica Bacchiglione"</f>
        <v>Consorzio di bonifica Bacchiglione</v>
      </c>
      <c r="I1096" t="str">
        <f>"92223390284"</f>
        <v>92223390284</v>
      </c>
      <c r="J1096" t="str">
        <f>"23-AFFIDAMENTO DIRETTO"</f>
        <v>23-AFFIDAMENTO DIRETTO</v>
      </c>
      <c r="K1096" t="str">
        <f>"18/02/2021"</f>
        <v>18/02/2021</v>
      </c>
      <c r="L1096" t="str">
        <f>"07/09/2021"</f>
        <v>07/09/2021</v>
      </c>
      <c r="M1096" t="str">
        <f>""</f>
        <v/>
      </c>
      <c r="N1096" t="str">
        <f>"Hard Service S.r.l. Via del Progresso, 2 35010 Peraga di Vigonza (PD)"</f>
        <v>Hard Service S.r.l. Via del Progresso, 2 35010 Peraga di Vigonza (PD)</v>
      </c>
      <c r="O1096" t="str">
        <f>"Hard Service S.r.l. Via del Progresso, 2 35010 Peraga di Vigonza (PD)"</f>
        <v>Hard Service S.r.l. Via del Progresso, 2 35010 Peraga di Vigonza (PD)</v>
      </c>
      <c r="P1096" t="s">
        <v>357</v>
      </c>
      <c r="Q1096" t="str">
        <f>""</f>
        <v/>
      </c>
      <c r="R1096" t="str">
        <f>""</f>
        <v/>
      </c>
      <c r="S1096" t="str">
        <f>""</f>
        <v/>
      </c>
      <c r="T1096" t="str">
        <f>"https://portaletrasparenza.consorziobacchiglione.it/dettagli/attodigara/6643/corsi-di-formazione-in-ambito-sicurezza-informatica.html"</f>
        <v>https://portaletrasparenza.consorziobacchiglione.it/dettagli/attodigara/6643/corsi-di-formazione-in-ambito-sicurezza-informatica.html</v>
      </c>
      <c r="U1096" t="str">
        <f>"https://portaletrasparenza.consorziobacchiglione.it/download/attodigara/6643/63ac455dec352.PDF"</f>
        <v>https://portaletrasparenza.consorziobacchiglione.it/download/attodigara/6643/63ac455dec352.PDF</v>
      </c>
      <c r="V109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97" spans="1:22" x14ac:dyDescent="0.3">
      <c r="A1097" t="str">
        <f>"Affidamento"</f>
        <v>Affidamento</v>
      </c>
      <c r="B1097" t="str">
        <f>"Servizio di supporto tecnico di assistenza e di coordinamento."</f>
        <v>Servizio di supporto tecnico di assistenza e di coordinamento.</v>
      </c>
      <c r="C1097" t="str">
        <f>"Z9430B3023"</f>
        <v>Z9430B3023</v>
      </c>
      <c r="D1097" t="str">
        <f>"19/02/2021"</f>
        <v>19/02/2021</v>
      </c>
      <c r="E1097" t="str">
        <f>""</f>
        <v/>
      </c>
      <c r="F1097" t="str">
        <f>""</f>
        <v/>
      </c>
      <c r="G1097" t="str">
        <f>"4080.00"</f>
        <v>4080.00</v>
      </c>
      <c r="H1097" t="str">
        <f>"Consorzio di bonifica Bacchiglione"</f>
        <v>Consorzio di bonifica Bacchiglione</v>
      </c>
      <c r="I1097" t="str">
        <f>"92223390284"</f>
        <v>92223390284</v>
      </c>
      <c r="J1097" t="str">
        <f>"23-AFFIDAMENTO DIRETTO"</f>
        <v>23-AFFIDAMENTO DIRETTO</v>
      </c>
      <c r="K1097" t="str">
        <f>"18/02/2021"</f>
        <v>18/02/2021</v>
      </c>
      <c r="L1097" t="str">
        <f>"29/11/2021"</f>
        <v>29/11/2021</v>
      </c>
      <c r="M1097" t="str">
        <f>""</f>
        <v/>
      </c>
      <c r="N1097" t="str">
        <f>"Studio Alfageo"</f>
        <v>Studio Alfageo</v>
      </c>
      <c r="O1097" t="str">
        <f>"Studio Alfageo"</f>
        <v>Studio Alfageo</v>
      </c>
      <c r="P1097" t="str">
        <f>"Z9430B3023: [4080.00€ ]"</f>
        <v>Z9430B3023: [4080.00€ ]</v>
      </c>
      <c r="Q1097" t="str">
        <f>""</f>
        <v/>
      </c>
      <c r="R1097" t="str">
        <f>""</f>
        <v/>
      </c>
      <c r="S1097" t="str">
        <f>""</f>
        <v/>
      </c>
      <c r="T1097" t="str">
        <f>"https://portaletrasparenza.consorziobacchiglione.it/dettagli/attodigara/6642/servizio-di-supporto-tecnico-di-assistenza-e-di-coordinamento.html"</f>
        <v>https://portaletrasparenza.consorziobacchiglione.it/dettagli/attodigara/6642/servizio-di-supporto-tecnico-di-assistenza-e-di-coordinamento.html</v>
      </c>
      <c r="U1097" t="str">
        <f>"https://portaletrasparenza.consorziobacchiglione.it/download/attodigara/6642/63ac455ed3da0.PDF"</f>
        <v>https://portaletrasparenza.consorziobacchiglione.it/download/attodigara/6642/63ac455ed3da0.PDF</v>
      </c>
      <c r="V10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98" spans="1:22" x14ac:dyDescent="0.3">
      <c r="A1098" t="str">
        <f>"Affidamento"</f>
        <v>Affidamento</v>
      </c>
      <c r="B1098" t="str">
        <f>"Spostamento mezzi a noleggio presso vari scoli"</f>
        <v>Spostamento mezzi a noleggio presso vari scoli</v>
      </c>
      <c r="C1098" t="str">
        <f>"ZA530B240D"</f>
        <v>ZA530B240D</v>
      </c>
      <c r="D1098" t="str">
        <f>"19/02/2021"</f>
        <v>19/02/2021</v>
      </c>
      <c r="E1098" t="str">
        <f>""</f>
        <v/>
      </c>
      <c r="F1098" t="str">
        <f>""</f>
        <v/>
      </c>
      <c r="G1098" t="str">
        <f>"630.00"</f>
        <v>630.00</v>
      </c>
      <c r="H1098" t="str">
        <f>"Consorzio di bonifica Bacchiglione"</f>
        <v>Consorzio di bonifica Bacchiglione</v>
      </c>
      <c r="I1098" t="str">
        <f>"92223390284"</f>
        <v>92223390284</v>
      </c>
      <c r="J1098" t="str">
        <f>"23-AFFIDAMENTO DIRETTO"</f>
        <v>23-AFFIDAMENTO DIRETTO</v>
      </c>
      <c r="K1098" t="str">
        <f>"18/02/2021"</f>
        <v>18/02/2021</v>
      </c>
      <c r="L1098" t="str">
        <f>"28/02/2021"</f>
        <v>28/02/2021</v>
      </c>
      <c r="M1098" t="str">
        <f>""</f>
        <v/>
      </c>
      <c r="N1098" t="str">
        <f>"Trovò s.r.l. Via Idrovora, 3 - 35020 Codevigo (PD)"</f>
        <v>Trovò s.r.l. Via Idrovora, 3 - 35020 Codevigo (PD)</v>
      </c>
      <c r="O1098" t="str">
        <f>"Trovò s.r.l. Via Idrovora, 3 - 35020 Codevigo (PD)"</f>
        <v>Trovò s.r.l. Via Idrovora, 3 - 35020 Codevigo (PD)</v>
      </c>
      <c r="P1098" t="str">
        <f>"ZA530B240D: [630.00€ ]"</f>
        <v>ZA530B240D: [630.00€ ]</v>
      </c>
      <c r="Q1098" t="str">
        <f>""</f>
        <v/>
      </c>
      <c r="R1098" t="str">
        <f>""</f>
        <v/>
      </c>
      <c r="S1098" t="str">
        <f>""</f>
        <v/>
      </c>
      <c r="T1098" t="str">
        <f>"https://portaletrasparenza.consorziobacchiglione.it/dettagli/attodigara/6641/spostamento-mezzi-a-noleggio-presso-vari-scoli.html"</f>
        <v>https://portaletrasparenza.consorziobacchiglione.it/dettagli/attodigara/6641/spostamento-mezzi-a-noleggio-presso-vari-scoli.html</v>
      </c>
      <c r="U1098" t="str">
        <f>"https://portaletrasparenza.consorziobacchiglione.it/download/attodigara/6641/63ac455d403d3.PDF"</f>
        <v>https://portaletrasparenza.consorziobacchiglione.it/download/attodigara/6641/63ac455d403d3.PDF</v>
      </c>
      <c r="V10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099" spans="1:22" x14ac:dyDescent="0.3">
      <c r="A1099" t="str">
        <f>"Affidamento"</f>
        <v>Affidamento</v>
      </c>
      <c r="B1099" t="str">
        <f>"Fornitura decespugliatore Husqvarna mod.HVA233RJ per bacino Pratiarcati"</f>
        <v>Fornitura decespugliatore Husqvarna mod.HVA233RJ per bacino Pratiarcati</v>
      </c>
      <c r="C1099" t="str">
        <f>"ZC830B16EF"</f>
        <v>ZC830B16EF</v>
      </c>
      <c r="D1099" t="str">
        <f>"19/02/2021"</f>
        <v>19/02/2021</v>
      </c>
      <c r="E1099" t="str">
        <f>""</f>
        <v/>
      </c>
      <c r="F1099" t="str">
        <f>""</f>
        <v/>
      </c>
      <c r="G1099" t="str">
        <f>"320.00"</f>
        <v>320.00</v>
      </c>
      <c r="H1099" t="str">
        <f>"Consorzio di bonifica Bacchiglione"</f>
        <v>Consorzio di bonifica Bacchiglione</v>
      </c>
      <c r="I1099" t="str">
        <f>"92223390284"</f>
        <v>92223390284</v>
      </c>
      <c r="J1099" t="str">
        <f>"23-AFFIDAMENTO DIRETTO"</f>
        <v>23-AFFIDAMENTO DIRETTO</v>
      </c>
      <c r="K1099" t="str">
        <f>"18/02/2021"</f>
        <v>18/02/2021</v>
      </c>
      <c r="L1099" t="str">
        <f>"09/03/2021"</f>
        <v>09/03/2021</v>
      </c>
      <c r="M1099" t="str">
        <f>""</f>
        <v/>
      </c>
      <c r="N1099" t="str">
        <f>"Gaiani Rino SAS di Gaiani Annalisa E C.Via Antoniana 102 35011 Campodarsego PD"</f>
        <v>Gaiani Rino SAS di Gaiani Annalisa E C.Via Antoniana 102 35011 Campodarsego PD</v>
      </c>
      <c r="O1099" t="str">
        <f>"Gaiani Rino SAS di Gaiani Annalisa E C.Via Antoniana 102 35011 Campodarsego PD"</f>
        <v>Gaiani Rino SAS di Gaiani Annalisa E C.Via Antoniana 102 35011 Campodarsego PD</v>
      </c>
      <c r="P1099" t="str">
        <f>"ZC830B16EF: [320.00€ ]"</f>
        <v>ZC830B16EF: [320.00€ ]</v>
      </c>
      <c r="Q1099" t="str">
        <f>""</f>
        <v/>
      </c>
      <c r="R1099" t="str">
        <f>""</f>
        <v/>
      </c>
      <c r="S1099" t="str">
        <f>""</f>
        <v/>
      </c>
      <c r="T1099" t="str">
        <f>"https://portaletrasparenza.consorziobacchiglione.it/dettagli/attodigara/6640/fornitura-decespugliatore-husqvarna-mod-hva233rj-per-bacino-pratiarcati.html"</f>
        <v>https://portaletrasparenza.consorziobacchiglione.it/dettagli/attodigara/6640/fornitura-decespugliatore-husqvarna-mod-hva233rj-per-bacino-pratiarcati.html</v>
      </c>
      <c r="U1099" t="str">
        <f>"https://portaletrasparenza.consorziobacchiglione.it/download/attodigara/6640/63ac455d07c42.PDF"</f>
        <v>https://portaletrasparenza.consorziobacchiglione.it/download/attodigara/6640/63ac455d07c42.PDF</v>
      </c>
      <c r="V10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00" spans="1:22" x14ac:dyDescent="0.3">
      <c r="A1100" t="str">
        <f>"Affidamento"</f>
        <v>Affidamento</v>
      </c>
      <c r="B1100" t="str">
        <f>"Manutenzione e riparazione mezzo con targa: DS717AA"</f>
        <v>Manutenzione e riparazione mezzo con targa: DS717AA</v>
      </c>
      <c r="C1100" t="str">
        <f>"ZD2190D1B6"</f>
        <v>ZD2190D1B6</v>
      </c>
      <c r="D1100" t="str">
        <f>"04/11/2021"</f>
        <v>04/11/2021</v>
      </c>
      <c r="E1100" t="str">
        <f>""</f>
        <v/>
      </c>
      <c r="F1100" t="str">
        <f>""</f>
        <v/>
      </c>
      <c r="G1100" t="str">
        <f>"390.80"</f>
        <v>390.80</v>
      </c>
      <c r="H1100" t="str">
        <f>"Consorzio di bonifica Bacchiglione"</f>
        <v>Consorzio di bonifica Bacchiglione</v>
      </c>
      <c r="I1100" t="str">
        <f>"92223390284"</f>
        <v>92223390284</v>
      </c>
      <c r="J1100" t="str">
        <f>"23-AFFIDAMENTO DIRETTO"</f>
        <v>23-AFFIDAMENTO DIRETTO</v>
      </c>
      <c r="K1100" t="str">
        <f>"18/03/2021"</f>
        <v>18/03/2021</v>
      </c>
      <c r="L1100" t="str">
        <f>"26/04/2021"</f>
        <v>26/04/2021</v>
      </c>
      <c r="M1100" t="str">
        <f>""</f>
        <v/>
      </c>
      <c r="N1100" t="str">
        <f>"Elettrodiesel Peruzzo s.r.l. Via Tevere 30 35135 Padova"</f>
        <v>Elettrodiesel Peruzzo s.r.l. Via Tevere 30 35135 Padova</v>
      </c>
      <c r="O1100" t="str">
        <f>"Elettrodiesel Peruzzo s.r.l. Via Tevere 30 35135 Padova"</f>
        <v>Elettrodiesel Peruzzo s.r.l. Via Tevere 30 35135 Padova</v>
      </c>
      <c r="P1100" t="str">
        <f>"ZD2190D1B6: [390.80€ ]"</f>
        <v>ZD2190D1B6: [390.80€ ]</v>
      </c>
      <c r="Q1100" t="str">
        <f>""</f>
        <v/>
      </c>
      <c r="R1100" t="str">
        <f>""</f>
        <v/>
      </c>
      <c r="S1100" t="str">
        <f>""</f>
        <v/>
      </c>
      <c r="T1100" t="str">
        <f>"https://portaletrasparenza.consorziobacchiglione.it/dettagli/attodigara/243/manutenzione-e-riparazione-mezzo-con-targa-ds717aa.html"</f>
        <v>https://portaletrasparenza.consorziobacchiglione.it/dettagli/attodigara/243/manutenzione-e-riparazione-mezzo-con-targa-ds717aa.html</v>
      </c>
      <c r="U1100" t="str">
        <f>""</f>
        <v/>
      </c>
      <c r="V11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01" spans="1:22" x14ac:dyDescent="0.3">
      <c r="A1101" t="str">
        <f>"Affidamento"</f>
        <v>Affidamento</v>
      </c>
      <c r="B1101" t="str">
        <f>"Fornitura materiale edile per scolo Brentella vecchia."</f>
        <v>Fornitura materiale edile per scolo Brentella vecchia.</v>
      </c>
      <c r="C1101" t="str">
        <f>"Z68190D28E"</f>
        <v>Z68190D28E</v>
      </c>
      <c r="D1101" t="str">
        <f>"04/11/2021"</f>
        <v>04/11/2021</v>
      </c>
      <c r="E1101" t="str">
        <f>""</f>
        <v/>
      </c>
      <c r="F1101" t="str">
        <f>""</f>
        <v/>
      </c>
      <c r="G1101" t="str">
        <f>"318.71"</f>
        <v>318.71</v>
      </c>
      <c r="H1101" t="str">
        <f>"Consorzio di bonifica Bacchiglione"</f>
        <v>Consorzio di bonifica Bacchiglione</v>
      </c>
      <c r="I1101" t="str">
        <f>"92223390284"</f>
        <v>92223390284</v>
      </c>
      <c r="J1101" t="str">
        <f>"23-AFFIDAMENTO DIRETTO"</f>
        <v>23-AFFIDAMENTO DIRETTO</v>
      </c>
      <c r="K1101" t="str">
        <f>"18/03/2021"</f>
        <v>18/03/2021</v>
      </c>
      <c r="L1101" t="str">
        <f>"18/07/2021"</f>
        <v>18/07/2021</v>
      </c>
      <c r="M1101" t="str">
        <f>""</f>
        <v/>
      </c>
      <c r="N1101" t="str">
        <f>"Idronord s.r.l. Via delle Industrie 3C 30036 Santa Maria Di Sala VE"</f>
        <v>Idronord s.r.l. Via delle Industrie 3C 30036 Santa Maria Di Sala VE</v>
      </c>
      <c r="O1101" t="str">
        <f>"Idronord s.r.l. Via delle Industrie 3C 30036 Santa Maria Di Sala VE"</f>
        <v>Idronord s.r.l. Via delle Industrie 3C 30036 Santa Maria Di Sala VE</v>
      </c>
      <c r="P1101" t="str">
        <f>"Z68190D28E: [269.21€ ]"</f>
        <v>Z68190D28E: [269.21€ ]</v>
      </c>
      <c r="Q1101" t="str">
        <f>""</f>
        <v/>
      </c>
      <c r="R1101" t="str">
        <f>""</f>
        <v/>
      </c>
      <c r="S1101" t="str">
        <f>""</f>
        <v/>
      </c>
      <c r="T1101" t="str">
        <f>"https://portaletrasparenza.consorziobacchiglione.it/dettagli/attodigara/244/fornitura-materiale-edile-per-scolo-brentella-vecchia.html"</f>
        <v>https://portaletrasparenza.consorziobacchiglione.it/dettagli/attodigara/244/fornitura-materiale-edile-per-scolo-brentella-vecchia.html</v>
      </c>
      <c r="U1101" t="str">
        <f>""</f>
        <v/>
      </c>
      <c r="V1101">
        <f>(SUBSTITUTE(Tabella1[[#This Row],[Importo di aggiudicazione]],".",","))-(SUBSTITUTE(  SUBSTITUTE(          SUBSTITUTE(Tabella1[[#This Row],[Dettaglio somme liquidate]],Tabella1[[#This Row],[CIG]]&amp;": [",""),"€ ]",""),".",","))</f>
        <v>49.5</v>
      </c>
    </row>
    <row r="1102" spans="1:22" x14ac:dyDescent="0.3">
      <c r="A1102" t="str">
        <f>"Affidamento"</f>
        <v>Affidamento</v>
      </c>
      <c r="B1102" t="str">
        <f>"Lavori di manutenzione triennale volta a ridurre la probabilità di guasto o degrado del funzionamento delle apparecchiature"</f>
        <v>Lavori di manutenzione triennale volta a ridurre la probabilità di guasto o degrado del funzionamento delle apparecchiature</v>
      </c>
      <c r="C1102" t="str">
        <f>"ZAA3110184"</f>
        <v>ZAA3110184</v>
      </c>
      <c r="D1102" t="str">
        <f>"18/03/2021"</f>
        <v>18/03/2021</v>
      </c>
      <c r="E1102" t="str">
        <f>""</f>
        <v/>
      </c>
      <c r="F1102" t="str">
        <f>""</f>
        <v/>
      </c>
      <c r="G1102" t="str">
        <f>"22350.00"</f>
        <v>22350.00</v>
      </c>
      <c r="H1102" t="str">
        <f>"Consorzio di bonifica Bacchiglione"</f>
        <v>Consorzio di bonifica Bacchiglione</v>
      </c>
      <c r="I1102" t="str">
        <f>"92223390284"</f>
        <v>92223390284</v>
      </c>
      <c r="J1102" t="str">
        <f>"23-AFFIDAMENTO DIRETTO"</f>
        <v>23-AFFIDAMENTO DIRETTO</v>
      </c>
      <c r="K1102" t="str">
        <f>"18/03/2021"</f>
        <v>18/03/2021</v>
      </c>
      <c r="L1102" t="str">
        <f>"18/10/2023"</f>
        <v>18/10/2023</v>
      </c>
      <c r="M1102" t="str">
        <f>""</f>
        <v/>
      </c>
      <c r="N1102" t="str">
        <f>"SCHNEIDER ELECTRIC S.P.A. Via Circonvallazione Est, 1 - 24040 Stezzano (BG)"</f>
        <v>SCHNEIDER ELECTRIC S.P.A. Via Circonvallazione Est, 1 - 24040 Stezzano (BG)</v>
      </c>
      <c r="O1102" t="str">
        <f>"SCHNEIDER ELECTRIC S.P.A. Via Circonvallazione Est, 1 - 24040 Stezzano (BG)"</f>
        <v>SCHNEIDER ELECTRIC S.P.A. Via Circonvallazione Est, 1 - 24040 Stezzano (BG)</v>
      </c>
      <c r="P1102" t="s">
        <v>224</v>
      </c>
      <c r="Q1102" t="str">
        <f>""</f>
        <v/>
      </c>
      <c r="R1102" t="str">
        <f>""</f>
        <v/>
      </c>
      <c r="S1102" t="str">
        <f>""</f>
        <v/>
      </c>
      <c r="T1102" t="str">
        <f>"https://portaletrasparenza.consorziobacchiglione.it/dettagli/attodigara/6713/lavori-di-manutenzione-triennale-volta-a-ridurre-la-probabilita-di-guasto-o-degrado-del-funzionamento-delle-apparecchiature.html"</f>
        <v>https://portaletrasparenza.consorziobacchiglione.it/dettagli/attodigara/6713/lavori-di-manutenzione-triennale-volta-a-ridurre-la-probabilita-di-guasto-o-degrado-del-funzionamento-delle-apparecchiature.html</v>
      </c>
      <c r="U1102" t="str">
        <f>"https://portaletrasparenza.consorziobacchiglione.it/download/attodigara/6713/63ac456d88304.PDF"</f>
        <v>https://portaletrasparenza.consorziobacchiglione.it/download/attodigara/6713/63ac456d88304.PDF</v>
      </c>
      <c r="V11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03" spans="1:22" x14ac:dyDescent="0.3">
      <c r="A1103" t="str">
        <f>"Affidamento"</f>
        <v>Affidamento</v>
      </c>
      <c r="B1103" t="str">
        <f>"Fornitura pali in Castagno con punta lunghi MT 2,5 per Bacino Sesta Presa, Pratiarcati e Montà Portello"</f>
        <v>Fornitura pali in Castagno con punta lunghi MT 2,5 per Bacino Sesta Presa, Pratiarcati e Montà Portello</v>
      </c>
      <c r="C1103" t="str">
        <f>"ZB7310F45A"</f>
        <v>ZB7310F45A</v>
      </c>
      <c r="D1103" t="str">
        <f>"18/03/2021"</f>
        <v>18/03/2021</v>
      </c>
      <c r="E1103" t="str">
        <f>""</f>
        <v/>
      </c>
      <c r="F1103" t="str">
        <f>""</f>
        <v/>
      </c>
      <c r="G1103" t="str">
        <f>"2915.50"</f>
        <v>2915.50</v>
      </c>
      <c r="H1103" t="str">
        <f>"Consorzio di bonifica Bacchiglione"</f>
        <v>Consorzio di bonifica Bacchiglione</v>
      </c>
      <c r="I1103" t="str">
        <f>"92223390284"</f>
        <v>92223390284</v>
      </c>
      <c r="J1103" t="str">
        <f>"23-AFFIDAMENTO DIRETTO"</f>
        <v>23-AFFIDAMENTO DIRETTO</v>
      </c>
      <c r="K1103" t="str">
        <f>"18/03/2021"</f>
        <v>18/03/2021</v>
      </c>
      <c r="L1103" t="str">
        <f>"24/03/2021"</f>
        <v>24/03/2021</v>
      </c>
      <c r="M1103" t="str">
        <f>""</f>
        <v/>
      </c>
      <c r="N1103" t="str">
        <f>"Rinaldi Combustibili s.n.c. Via Repoise 2 35030 Cervarese Santa Croce PD"</f>
        <v>Rinaldi Combustibili s.n.c. Via Repoise 2 35030 Cervarese Santa Croce PD</v>
      </c>
      <c r="O1103" t="str">
        <f>"Rinaldi Combustibili s.n.c. Via Repoise 2 35030 Cervarese Santa Croce PD"</f>
        <v>Rinaldi Combustibili s.n.c. Via Repoise 2 35030 Cervarese Santa Croce PD</v>
      </c>
      <c r="P1103" t="str">
        <f>"ZB7310F45A: [2915.50€ ]"</f>
        <v>ZB7310F45A: [2915.50€ ]</v>
      </c>
      <c r="Q1103" t="str">
        <f>""</f>
        <v/>
      </c>
      <c r="R1103" t="str">
        <f>""</f>
        <v/>
      </c>
      <c r="S1103" t="str">
        <f>""</f>
        <v/>
      </c>
      <c r="T1103" t="str">
        <f>"https://portaletrasparenza.consorziobacchiglione.it/dettagli/attodigara/6712/fornitura-pali-in-castagno-con-punta-lunghi-mt-2-5-per-bacino-sesta-presa-pratiarcati-e-monta-portello.html"</f>
        <v>https://portaletrasparenza.consorziobacchiglione.it/dettagli/attodigara/6712/fornitura-pali-in-castagno-con-punta-lunghi-mt-2-5-per-bacino-sesta-presa-pratiarcati-e-monta-portello.html</v>
      </c>
      <c r="U1103" t="str">
        <f>"https://portaletrasparenza.consorziobacchiglione.it/download/attodigara/6712/63ac456d4f70f.PDF"</f>
        <v>https://portaletrasparenza.consorziobacchiglione.it/download/attodigara/6712/63ac456d4f70f.PDF</v>
      </c>
      <c r="V11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04" spans="1:22" x14ac:dyDescent="0.3">
      <c r="A1104" t="str">
        <f>"Affidamento"</f>
        <v>Affidamento</v>
      </c>
      <c r="B1104" t="str">
        <f>"Consulenza di supporto in materia di prevenzione della corruzione e trasparenza"</f>
        <v>Consulenza di supporto in materia di prevenzione della corruzione e trasparenza</v>
      </c>
      <c r="C1104" t="str">
        <f>"ZDA310EE19"</f>
        <v>ZDA310EE19</v>
      </c>
      <c r="D1104" t="str">
        <f>"18/03/2021"</f>
        <v>18/03/2021</v>
      </c>
      <c r="E1104" t="str">
        <f>""</f>
        <v/>
      </c>
      <c r="F1104" t="str">
        <f>""</f>
        <v/>
      </c>
      <c r="G1104" t="str">
        <f>"3400.00"</f>
        <v>3400.00</v>
      </c>
      <c r="H1104" t="str">
        <f>"Consorzio di bonifica Bacchiglione"</f>
        <v>Consorzio di bonifica Bacchiglione</v>
      </c>
      <c r="I1104" t="str">
        <f>"92223390284"</f>
        <v>92223390284</v>
      </c>
      <c r="J1104" t="str">
        <f>"23-AFFIDAMENTO DIRETTO"</f>
        <v>23-AFFIDAMENTO DIRETTO</v>
      </c>
      <c r="K1104" t="str">
        <f>"18/03/2021"</f>
        <v>18/03/2021</v>
      </c>
      <c r="L1104" t="str">
        <f>"31/12/2021"</f>
        <v>31/12/2021</v>
      </c>
      <c r="M1104" t="str">
        <f>""</f>
        <v/>
      </c>
      <c r="N1104" t="str">
        <f>"MEIT CONSULTING S.R.L."</f>
        <v>MEIT CONSULTING S.R.L.</v>
      </c>
      <c r="O1104" t="str">
        <f>"MEIT CONSULTING S.R.L."</f>
        <v>MEIT CONSULTING S.R.L.</v>
      </c>
      <c r="P1104" t="str">
        <f>"ZDA310EE19: [2088.05€ ]"</f>
        <v>ZDA310EE19: [2088.05€ ]</v>
      </c>
      <c r="Q1104" t="str">
        <f>""</f>
        <v/>
      </c>
      <c r="R1104" t="str">
        <f>""</f>
        <v/>
      </c>
      <c r="S1104" t="str">
        <f>""</f>
        <v/>
      </c>
      <c r="T1104" t="str">
        <f>"https://portaletrasparenza.consorziobacchiglione.it/dettagli/attodigara/6711/consulenza-di-supporto-in-materia-di-prevenzione-della-corruzione-e-trasparenza.html"</f>
        <v>https://portaletrasparenza.consorziobacchiglione.it/dettagli/attodigara/6711/consulenza-di-supporto-in-materia-di-prevenzione-della-corruzione-e-trasparenza.html</v>
      </c>
      <c r="U1104" t="str">
        <f>"https://portaletrasparenza.consorziobacchiglione.it/download/attodigara/6711/63ac456d16fd6.PDF"</f>
        <v>https://portaletrasparenza.consorziobacchiglione.it/download/attodigara/6711/63ac456d16fd6.PDF</v>
      </c>
      <c r="V1104">
        <f>(SUBSTITUTE(Tabella1[[#This Row],[Importo di aggiudicazione]],".",","))-(SUBSTITUTE(  SUBSTITUTE(          SUBSTITUTE(Tabella1[[#This Row],[Dettaglio somme liquidate]],Tabella1[[#This Row],[CIG]]&amp;": [",""),"€ ]",""),".",","))</f>
        <v>1311.9499999999998</v>
      </c>
    </row>
    <row r="1105" spans="1:22" x14ac:dyDescent="0.3">
      <c r="A1105" t="str">
        <f>"Affidamento"</f>
        <v>Affidamento</v>
      </c>
      <c r="B1105" t="str">
        <f>"Manutenzione e riparazione mezzo con targa: AFW043"</f>
        <v>Manutenzione e riparazione mezzo con targa: AFW043</v>
      </c>
      <c r="C1105" t="str">
        <f>"ZC6197B44D"</f>
        <v>ZC6197B44D</v>
      </c>
      <c r="D1105" t="str">
        <f>"04/11/2021"</f>
        <v>04/11/2021</v>
      </c>
      <c r="E1105" t="str">
        <f>""</f>
        <v/>
      </c>
      <c r="F1105" t="str">
        <f>""</f>
        <v/>
      </c>
      <c r="G1105" t="str">
        <f>"3635.00"</f>
        <v>3635.00</v>
      </c>
      <c r="H1105" t="str">
        <f>"Consorzio di bonifica Bacchiglione"</f>
        <v>Consorzio di bonifica Bacchiglione</v>
      </c>
      <c r="I1105" t="str">
        <f>"92223390284"</f>
        <v>92223390284</v>
      </c>
      <c r="J1105" t="str">
        <f>"23-AFFIDAMENTO DIRETTO"</f>
        <v>23-AFFIDAMENTO DIRETTO</v>
      </c>
      <c r="K1105" t="str">
        <f>"18/04/2021"</f>
        <v>18/04/2021</v>
      </c>
      <c r="L1105" t="str">
        <f>"18/05/2021"</f>
        <v>18/05/2021</v>
      </c>
      <c r="M1105" t="str">
        <f>""</f>
        <v/>
      </c>
      <c r="N1105" t="str">
        <f>"Autoriparazioni Ravazzolo s.r.l. Via Roma 259a 35030 Montemerlo di Cervarese Santa Croce PD"</f>
        <v>Autoriparazioni Ravazzolo s.r.l. Via Roma 259a 35030 Montemerlo di Cervarese Santa Croce PD</v>
      </c>
      <c r="O1105" t="str">
        <f>"Autoriparazioni Ravazzolo s.r.l. Via Roma 259a 35030 Montemerlo di Cervarese Santa Croce PD"</f>
        <v>Autoriparazioni Ravazzolo s.r.l. Via Roma 259a 35030 Montemerlo di Cervarese Santa Croce PD</v>
      </c>
      <c r="P1105" t="str">
        <f>"ZC6197B44D: [3635.00€ ]"</f>
        <v>ZC6197B44D: [3635.00€ ]</v>
      </c>
      <c r="Q1105" t="str">
        <f>""</f>
        <v/>
      </c>
      <c r="R1105" t="str">
        <f>""</f>
        <v/>
      </c>
      <c r="S1105" t="str">
        <f>""</f>
        <v/>
      </c>
      <c r="T1105" t="str">
        <f>"https://portaletrasparenza.consorziobacchiglione.it/dettagli/attodigara/337/manutenzione-e-riparazione-mezzo-con-targa-afw043.html"</f>
        <v>https://portaletrasparenza.consorziobacchiglione.it/dettagli/attodigara/337/manutenzione-e-riparazione-mezzo-con-targa-afw043.html</v>
      </c>
      <c r="U1105" t="str">
        <f>""</f>
        <v/>
      </c>
      <c r="V110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06" spans="1:22" x14ac:dyDescent="0.3">
      <c r="A1106" t="str">
        <f>"Affidamento"</f>
        <v>Affidamento</v>
      </c>
      <c r="B1106" t="str">
        <f>"Noleggio escavatore da 135 Q. per lavoro scolo Bolzani e noleggio miniescavatore 30 Q. per lavoro sostegno cimitero a Piove di Sacco."</f>
        <v>Noleggio escavatore da 135 Q. per lavoro scolo Bolzani e noleggio miniescavatore 30 Q. per lavoro sostegno cimitero a Piove di Sacco.</v>
      </c>
      <c r="C1106" t="str">
        <f>"Z5919796EC"</f>
        <v>Z5919796EC</v>
      </c>
      <c r="D1106" t="str">
        <f>"04/11/2021"</f>
        <v>04/11/2021</v>
      </c>
      <c r="E1106" t="str">
        <f>""</f>
        <v/>
      </c>
      <c r="F1106" t="str">
        <f>""</f>
        <v/>
      </c>
      <c r="G1106" t="str">
        <f>"3480.00"</f>
        <v>3480.00</v>
      </c>
      <c r="H1106" t="str">
        <f>"Consorzio di bonifica Bacchiglione"</f>
        <v>Consorzio di bonifica Bacchiglione</v>
      </c>
      <c r="I1106" t="str">
        <f>"92223390284"</f>
        <v>92223390284</v>
      </c>
      <c r="J1106" t="str">
        <f>"23-AFFIDAMENTO DIRETTO"</f>
        <v>23-AFFIDAMENTO DIRETTO</v>
      </c>
      <c r="K1106" t="str">
        <f>"18/04/2021"</f>
        <v>18/04/2021</v>
      </c>
      <c r="L1106" t="str">
        <f>"18/05/2021"</f>
        <v>18/05/2021</v>
      </c>
      <c r="M1106" t="str">
        <f>""</f>
        <v/>
      </c>
      <c r="N1106" t="str">
        <f>"Sorme Noleggi s.a.s. Via Monache 21 35030 Selvazzano Dentro PD"</f>
        <v>Sorme Noleggi s.a.s. Via Monache 21 35030 Selvazzano Dentro PD</v>
      </c>
      <c r="O1106" t="str">
        <f>"Sorme Noleggi s.a.s. Via Monache 21 35030 Selvazzano Dentro PD"</f>
        <v>Sorme Noleggi s.a.s. Via Monache 21 35030 Selvazzano Dentro PD</v>
      </c>
      <c r="P1106" t="str">
        <f>"Z5919796EC: [3480.00€ ]"</f>
        <v>Z5919796EC: [3480.00€ ]</v>
      </c>
      <c r="Q1106" t="str">
        <f>""</f>
        <v/>
      </c>
      <c r="R1106" t="str">
        <f>""</f>
        <v/>
      </c>
      <c r="S1106" t="str">
        <f>""</f>
        <v/>
      </c>
      <c r="T1106" t="str">
        <f>"https://portaletrasparenza.consorziobacchiglione.it/dettagli/attodigara/336/noleggio-escavatore-da-135-q-per-lavoro-scolo-bolzani-e-noleggio-miniescavatore-30-q-per-lavoro-sostegno-cimitero-a-piove-di-sacco.html"</f>
        <v>https://portaletrasparenza.consorziobacchiglione.it/dettagli/attodigara/336/noleggio-escavatore-da-135-q-per-lavoro-scolo-bolzani-e-noleggio-miniescavatore-30-q-per-lavoro-sostegno-cimitero-a-piove-di-sacco.html</v>
      </c>
      <c r="U1106" t="str">
        <f>""</f>
        <v/>
      </c>
      <c r="V11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07" spans="1:22" x14ac:dyDescent="0.3">
      <c r="A1107" t="str">
        <f>"Affidamento"</f>
        <v>Affidamento</v>
      </c>
      <c r="B1107" t="str">
        <f>"Verifica integrità serbatoi d'aria compressa per avviamento motori diesel Idrovora S.Margherita."</f>
        <v>Verifica integrità serbatoi d'aria compressa per avviamento motori diesel Idrovora S.Margherita.</v>
      </c>
      <c r="C1107" t="str">
        <f>"Z99197958B"</f>
        <v>Z99197958B</v>
      </c>
      <c r="D1107" t="str">
        <f>"04/11/2021"</f>
        <v>04/11/2021</v>
      </c>
      <c r="E1107" t="str">
        <f>""</f>
        <v/>
      </c>
      <c r="F1107" t="str">
        <f>""</f>
        <v/>
      </c>
      <c r="G1107" t="str">
        <f>"788.50"</f>
        <v>788.50</v>
      </c>
      <c r="H1107" t="str">
        <f>"Consorzio di bonifica Bacchiglione"</f>
        <v>Consorzio di bonifica Bacchiglione</v>
      </c>
      <c r="I1107" t="str">
        <f>"92223390284"</f>
        <v>92223390284</v>
      </c>
      <c r="J1107" t="str">
        <f>"23-AFFIDAMENTO DIRETTO"</f>
        <v>23-AFFIDAMENTO DIRETTO</v>
      </c>
      <c r="K1107" t="str">
        <f>"18/04/2021"</f>
        <v>18/04/2021</v>
      </c>
      <c r="L1107" t="str">
        <f>"03/05/2021"</f>
        <v>03/05/2021</v>
      </c>
      <c r="M1107" t="str">
        <f>""</f>
        <v/>
      </c>
      <c r="N1107" t="str">
        <f>"Ivat S.R.L. Via Spin 103 36060 Romano D'Ezzelino VI"</f>
        <v>Ivat S.R.L. Via Spin 103 36060 Romano D'Ezzelino VI</v>
      </c>
      <c r="O1107" t="str">
        <f>"Ivat S.R.L. Via Spin 103 36060 Romano D'Ezzelino VI"</f>
        <v>Ivat S.R.L. Via Spin 103 36060 Romano D'Ezzelino VI</v>
      </c>
      <c r="P1107" t="str">
        <f>"Z99197958B: [788.50€ ]"</f>
        <v>Z99197958B: [788.50€ ]</v>
      </c>
      <c r="Q1107" t="str">
        <f>""</f>
        <v/>
      </c>
      <c r="R1107" t="str">
        <f>""</f>
        <v/>
      </c>
      <c r="S1107" t="str">
        <f>""</f>
        <v/>
      </c>
      <c r="T1107" t="str">
        <f>"https://portaletrasparenza.consorziobacchiglione.it/dettagli/attodigara/335/verifica-integrita-serbatoi-d-aria-compressa-per-avviamento-motori-diesel-idrovora-s-margherita.html"</f>
        <v>https://portaletrasparenza.consorziobacchiglione.it/dettagli/attodigara/335/verifica-integrita-serbatoi-d-aria-compressa-per-avviamento-motori-diesel-idrovora-s-margherita.html</v>
      </c>
      <c r="U1107" t="str">
        <f>""</f>
        <v/>
      </c>
      <c r="V110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08" spans="1:22" x14ac:dyDescent="0.3">
      <c r="A1108" t="str">
        <f>"Affidamento"</f>
        <v>Affidamento</v>
      </c>
      <c r="B1108" t="str">
        <f>"Riparazione e manutenzione mezzo con targa: AFW043."</f>
        <v>Riparazione e manutenzione mezzo con targa: AFW043.</v>
      </c>
      <c r="C1108" t="str">
        <f>"Z9B1979324"</f>
        <v>Z9B1979324</v>
      </c>
      <c r="D1108" t="str">
        <f>"04/11/2021"</f>
        <v>04/11/2021</v>
      </c>
      <c r="E1108" t="str">
        <f>""</f>
        <v/>
      </c>
      <c r="F1108" t="str">
        <f>""</f>
        <v/>
      </c>
      <c r="G1108" t="str">
        <f>"1006.00"</f>
        <v>1006.00</v>
      </c>
      <c r="H1108" t="str">
        <f>"Consorzio di bonifica Bacchiglione"</f>
        <v>Consorzio di bonifica Bacchiglione</v>
      </c>
      <c r="I1108" t="str">
        <f>"92223390284"</f>
        <v>92223390284</v>
      </c>
      <c r="J1108" t="str">
        <f>"23-AFFIDAMENTO DIRETTO"</f>
        <v>23-AFFIDAMENTO DIRETTO</v>
      </c>
      <c r="K1108" t="str">
        <f>"18/04/2021"</f>
        <v>18/04/2021</v>
      </c>
      <c r="L1108" t="str">
        <f>"09/06/2021"</f>
        <v>09/06/2021</v>
      </c>
      <c r="M1108" t="str">
        <f>""</f>
        <v/>
      </c>
      <c r="N1108" t="str">
        <f>"Adriatica Commerciale Macchine s.r.l. Via dell'Artigianato 5 35020 Due Carrare PD"</f>
        <v>Adriatica Commerciale Macchine s.r.l. Via dell'Artigianato 5 35020 Due Carrare PD</v>
      </c>
      <c r="O1108" t="str">
        <f>"Adriatica Commerciale Macchine s.r.l. Via dell'Artigianato 5 35020 Due Carrare PD"</f>
        <v>Adriatica Commerciale Macchine s.r.l. Via dell'Artigianato 5 35020 Due Carrare PD</v>
      </c>
      <c r="P1108" t="str">
        <f>"Z9B1979324: [1006.00€ ]"</f>
        <v>Z9B1979324: [1006.00€ ]</v>
      </c>
      <c r="Q1108" t="str">
        <f>""</f>
        <v/>
      </c>
      <c r="R1108" t="str">
        <f>""</f>
        <v/>
      </c>
      <c r="S1108" t="str">
        <f>""</f>
        <v/>
      </c>
      <c r="T1108" t="str">
        <f>"https://portaletrasparenza.consorziobacchiglione.it/dettagli/attodigara/334/riparazione-e-manutenzione-mezzo-con-targa-afw043.html"</f>
        <v>https://portaletrasparenza.consorziobacchiglione.it/dettagli/attodigara/334/riparazione-e-manutenzione-mezzo-con-targa-afw043.html</v>
      </c>
      <c r="U1108" t="str">
        <f>""</f>
        <v/>
      </c>
      <c r="V11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09" spans="1:22" x14ac:dyDescent="0.3">
      <c r="A1109" t="str">
        <f>"Affidamento"</f>
        <v>Affidamento</v>
      </c>
      <c r="B1109" t="str">
        <f>"Fornitura materiale edile per Bacino Sesta Presa, Pratiarcati, scolo Stecche."</f>
        <v>Fornitura materiale edile per Bacino Sesta Presa, Pratiarcati, scolo Stecche.</v>
      </c>
      <c r="C1109" t="str">
        <f>"Z6C1979142"</f>
        <v>Z6C1979142</v>
      </c>
      <c r="D1109" t="str">
        <f>"04/11/2021"</f>
        <v>04/11/2021</v>
      </c>
      <c r="E1109" t="str">
        <f>""</f>
        <v/>
      </c>
      <c r="F1109" t="str">
        <f>""</f>
        <v/>
      </c>
      <c r="G1109" t="str">
        <f>"2961.35"</f>
        <v>2961.35</v>
      </c>
      <c r="H1109" t="str">
        <f>"Consorzio di bonifica Bacchiglione"</f>
        <v>Consorzio di bonifica Bacchiglione</v>
      </c>
      <c r="I1109" t="str">
        <f>"92223390284"</f>
        <v>92223390284</v>
      </c>
      <c r="J1109" t="str">
        <f>"23-AFFIDAMENTO DIRETTO"</f>
        <v>23-AFFIDAMENTO DIRETTO</v>
      </c>
      <c r="K1109" t="str">
        <f>"18/04/2021"</f>
        <v>18/04/2021</v>
      </c>
      <c r="L1109" t="str">
        <f>"05/10/2021"</f>
        <v>05/10/2021</v>
      </c>
      <c r="M1109" t="str">
        <f>""</f>
        <v/>
      </c>
      <c r="N1109" t="str">
        <f>"Idronord s.r.l. Via delle Industrie 3C 30036 Santa Maria Di Sala VE"</f>
        <v>Idronord s.r.l. Via delle Industrie 3C 30036 Santa Maria Di Sala VE</v>
      </c>
      <c r="O1109" t="str">
        <f>"Idronord s.r.l. Via delle Industrie 3C 30036 Santa Maria Di Sala VE"</f>
        <v>Idronord s.r.l. Via delle Industrie 3C 30036 Santa Maria Di Sala VE</v>
      </c>
      <c r="P1109" t="str">
        <f>"Z6C1979142: [2961.35€ ]"</f>
        <v>Z6C1979142: [2961.35€ ]</v>
      </c>
      <c r="Q1109" t="str">
        <f>""</f>
        <v/>
      </c>
      <c r="R1109" t="str">
        <f>""</f>
        <v/>
      </c>
      <c r="S1109" t="str">
        <f>""</f>
        <v/>
      </c>
      <c r="T1109" t="str">
        <f>"https://portaletrasparenza.consorziobacchiglione.it/dettagli/attodigara/333/fornitura-materiale-edile-per-bacino-sesta-presa-pratiarcati-scolo-stecche.html"</f>
        <v>https://portaletrasparenza.consorziobacchiglione.it/dettagli/attodigara/333/fornitura-materiale-edile-per-bacino-sesta-presa-pratiarcati-scolo-stecche.html</v>
      </c>
      <c r="U1109" t="str">
        <f>""</f>
        <v/>
      </c>
      <c r="V11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10" spans="1:22" x14ac:dyDescent="0.3">
      <c r="A1110" t="str">
        <f>"Affidamento"</f>
        <v>Affidamento</v>
      </c>
      <c r="B1110" t="str">
        <f>"Lavoro di messa in sicurezza impianto elettrico presso sede Consorziale."</f>
        <v>Lavoro di messa in sicurezza impianto elettrico presso sede Consorziale.</v>
      </c>
      <c r="C1110" t="str">
        <f>"ZB41979013"</f>
        <v>ZB41979013</v>
      </c>
      <c r="D1110" t="str">
        <f>"04/11/2021"</f>
        <v>04/11/2021</v>
      </c>
      <c r="E1110" t="str">
        <f>""</f>
        <v/>
      </c>
      <c r="F1110" t="str">
        <f>""</f>
        <v/>
      </c>
      <c r="G1110" t="str">
        <f>"562.00"</f>
        <v>562.00</v>
      </c>
      <c r="H1110" t="str">
        <f>"Consorzio di bonifica Bacchiglione"</f>
        <v>Consorzio di bonifica Bacchiglione</v>
      </c>
      <c r="I1110" t="str">
        <f>"92223390284"</f>
        <v>92223390284</v>
      </c>
      <c r="J1110" t="str">
        <f>"23-AFFIDAMENTO DIRETTO"</f>
        <v>23-AFFIDAMENTO DIRETTO</v>
      </c>
      <c r="K1110" t="str">
        <f>"18/04/2021"</f>
        <v>18/04/2021</v>
      </c>
      <c r="L1110" t="str">
        <f>"14/07/2021"</f>
        <v>14/07/2021</v>
      </c>
      <c r="M1110" t="str">
        <f>""</f>
        <v/>
      </c>
      <c r="N1110" t="str">
        <f>"Picello s.r.l."</f>
        <v>Picello s.r.l.</v>
      </c>
      <c r="O1110" t="str">
        <f>"Picello s.r.l."</f>
        <v>Picello s.r.l.</v>
      </c>
      <c r="P1110" t="str">
        <f>"ZB41979013: [562.00€ ]"</f>
        <v>ZB41979013: [562.00€ ]</v>
      </c>
      <c r="Q1110" t="str">
        <f>""</f>
        <v/>
      </c>
      <c r="R1110" t="str">
        <f>""</f>
        <v/>
      </c>
      <c r="S1110" t="str">
        <f>""</f>
        <v/>
      </c>
      <c r="T1110" t="str">
        <f>"https://portaletrasparenza.consorziobacchiglione.it/dettagli/attodigara/332/lavoro-di-messa-in-sicurezza-impianto-elettrico-presso-sede-consorziale.html"</f>
        <v>https://portaletrasparenza.consorziobacchiglione.it/dettagli/attodigara/332/lavoro-di-messa-in-sicurezza-impianto-elettrico-presso-sede-consorziale.html</v>
      </c>
      <c r="U1110" t="str">
        <f>""</f>
        <v/>
      </c>
      <c r="V11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11" spans="1:22" x14ac:dyDescent="0.3">
      <c r="A1111" t="str">
        <f>"Affidamento"</f>
        <v>Affidamento</v>
      </c>
      <c r="B1111" t="str">
        <f>"Servizio di Direzione Lavori e Coordinamento della Sicurezza in fase di esecuzione delle opere. - Processo ID 015-12."</f>
        <v>Servizio di Direzione Lavori e Coordinamento della Sicurezza in fase di esecuzione delle opere. - Processo ID 015-12.</v>
      </c>
      <c r="C1111" t="str">
        <f>"Z57197B0DB"</f>
        <v>Z57197B0DB</v>
      </c>
      <c r="D1111" t="str">
        <f>"04/11/2021"</f>
        <v>04/11/2021</v>
      </c>
      <c r="E1111" t="str">
        <f>""</f>
        <v/>
      </c>
      <c r="F1111" t="str">
        <f>""</f>
        <v/>
      </c>
      <c r="G1111" t="str">
        <f>"15288.00"</f>
        <v>15288.00</v>
      </c>
      <c r="H1111" t="str">
        <f>"Consorzio di bonifica Bacchiglione"</f>
        <v>Consorzio di bonifica Bacchiglione</v>
      </c>
      <c r="I1111" t="str">
        <f>"92223390284"</f>
        <v>92223390284</v>
      </c>
      <c r="J1111" t="str">
        <f>"23-AFFIDAMENTO DIRETTO"</f>
        <v>23-AFFIDAMENTO DIRETTO</v>
      </c>
      <c r="K1111" t="str">
        <f>"18/04/2021"</f>
        <v>18/04/2021</v>
      </c>
      <c r="L1111" t="str">
        <f>"11/09/2021"</f>
        <v>11/09/2021</v>
      </c>
      <c r="M1111" t="str">
        <f>""</f>
        <v/>
      </c>
      <c r="N1111" t="str">
        <f>"Ingegneria 2P E Associati S.r.l."</f>
        <v>Ingegneria 2P E Associati S.r.l.</v>
      </c>
      <c r="O1111" t="str">
        <f>"Ingegneria 2P E Associati S.r.l."</f>
        <v>Ingegneria 2P E Associati S.r.l.</v>
      </c>
      <c r="P1111" t="str">
        <f>"Z57197B0DB: [15288.00€ ]"</f>
        <v>Z57197B0DB: [15288.00€ ]</v>
      </c>
      <c r="Q1111" t="str">
        <f>""</f>
        <v/>
      </c>
      <c r="R1111" t="str">
        <f>""</f>
        <v/>
      </c>
      <c r="S1111" t="str">
        <f>""</f>
        <v/>
      </c>
      <c r="T1111" t="str">
        <f>"https://portaletrasparenza.consorziobacchiglione.it/dettagli/attodigara/330/servizio-di-direzione-lavori-e-coordinamento-della-sicurezza-in-fase-di-esecuzione-delle-opere-processo-id-015-12.html"</f>
        <v>https://portaletrasparenza.consorziobacchiglione.it/dettagli/attodigara/330/servizio-di-direzione-lavori-e-coordinamento-della-sicurezza-in-fase-di-esecuzione-delle-opere-processo-id-015-12.html</v>
      </c>
      <c r="U1111" t="str">
        <f>""</f>
        <v/>
      </c>
      <c r="V111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12" spans="1:22" x14ac:dyDescent="0.3">
      <c r="A1112" t="str">
        <f>"Affidamento"</f>
        <v>Affidamento</v>
      </c>
      <c r="B1112" t="str">
        <f>"Servizio di affiancamento alla Direzione Lavori per gli aspetti ambientali. - Processo ID 013-14."</f>
        <v>Servizio di affiancamento alla Direzione Lavori per gli aspetti ambientali. - Processo ID 013-14.</v>
      </c>
      <c r="C1112" t="str">
        <f>"Z89197BE55"</f>
        <v>Z89197BE55</v>
      </c>
      <c r="D1112" t="str">
        <f>"04/11/2021"</f>
        <v>04/11/2021</v>
      </c>
      <c r="E1112" t="str">
        <f>""</f>
        <v/>
      </c>
      <c r="F1112" t="str">
        <f>""</f>
        <v/>
      </c>
      <c r="G1112" t="str">
        <f>"1560.00"</f>
        <v>1560.00</v>
      </c>
      <c r="H1112" t="str">
        <f>"Consorzio di bonifica Bacchiglione"</f>
        <v>Consorzio di bonifica Bacchiglione</v>
      </c>
      <c r="I1112" t="str">
        <f>"92223390284"</f>
        <v>92223390284</v>
      </c>
      <c r="J1112" t="str">
        <f>"23-AFFIDAMENTO DIRETTO"</f>
        <v>23-AFFIDAMENTO DIRETTO</v>
      </c>
      <c r="K1112" t="str">
        <f>"18/04/2021"</f>
        <v>18/04/2021</v>
      </c>
      <c r="L1112" t="str">
        <f>"30/05/2021"</f>
        <v>30/05/2021</v>
      </c>
      <c r="M1112" t="str">
        <f>""</f>
        <v/>
      </c>
      <c r="N1112" t="str">
        <f>"Arcadia di Michele Marchesin"</f>
        <v>Arcadia di Michele Marchesin</v>
      </c>
      <c r="O1112" t="str">
        <f>"Arcadia di Michele Marchesin"</f>
        <v>Arcadia di Michele Marchesin</v>
      </c>
      <c r="P1112" t="str">
        <f>"Z89197BE55: [1529.40€ ]"</f>
        <v>Z89197BE55: [1529.40€ ]</v>
      </c>
      <c r="Q1112" t="str">
        <f>""</f>
        <v/>
      </c>
      <c r="R1112" t="str">
        <f>""</f>
        <v/>
      </c>
      <c r="S1112" t="str">
        <f>""</f>
        <v/>
      </c>
      <c r="T1112" t="str">
        <f>"https://portaletrasparenza.consorziobacchiglione.it/dettagli/attodigara/331/servizio-di-affiancamento-alla-direzione-lavori-per-gli-aspetti-ambientali-processo-id-013-14.html"</f>
        <v>https://portaletrasparenza.consorziobacchiglione.it/dettagli/attodigara/331/servizio-di-affiancamento-alla-direzione-lavori-per-gli-aspetti-ambientali-processo-id-013-14.html</v>
      </c>
      <c r="U1112" t="str">
        <f>""</f>
        <v/>
      </c>
      <c r="V1112">
        <f>(SUBSTITUTE(Tabella1[[#This Row],[Importo di aggiudicazione]],".",","))-(SUBSTITUTE(  SUBSTITUTE(          SUBSTITUTE(Tabella1[[#This Row],[Dettaglio somme liquidate]],Tabella1[[#This Row],[CIG]]&amp;": [",""),"€ ]",""),".",","))</f>
        <v>30.599999999999909</v>
      </c>
    </row>
    <row r="1113" spans="1:22" x14ac:dyDescent="0.3">
      <c r="A1113" t="str">
        <f>"Affidamento"</f>
        <v>Affidamento</v>
      </c>
      <c r="B1113" t="str">
        <f>"Fornitura materiale elettrico per EP1 Idrovora S.Margherita."</f>
        <v>Fornitura materiale elettrico per EP1 Idrovora S.Margherita.</v>
      </c>
      <c r="C1113" t="str">
        <f>"Z8319EAE4E"</f>
        <v>Z8319EAE4E</v>
      </c>
      <c r="D1113" t="str">
        <f>"04/11/2021"</f>
        <v>04/11/2021</v>
      </c>
      <c r="E1113" t="str">
        <f>""</f>
        <v/>
      </c>
      <c r="F1113" t="str">
        <f>""</f>
        <v/>
      </c>
      <c r="G1113" t="str">
        <f>"5544.93"</f>
        <v>5544.93</v>
      </c>
      <c r="H1113" t="str">
        <f>"Consorzio di bonifica Bacchiglione"</f>
        <v>Consorzio di bonifica Bacchiglione</v>
      </c>
      <c r="I1113" t="str">
        <f>"92223390284"</f>
        <v>92223390284</v>
      </c>
      <c r="J1113" t="str">
        <f>"23-AFFIDAMENTO DIRETTO"</f>
        <v>23-AFFIDAMENTO DIRETTO</v>
      </c>
      <c r="K1113" t="str">
        <f>"18/05/2021"</f>
        <v>18/05/2021</v>
      </c>
      <c r="L1113" t="str">
        <f>"01/08/2021"</f>
        <v>01/08/2021</v>
      </c>
      <c r="M1113" t="str">
        <f>""</f>
        <v/>
      </c>
      <c r="N1113" t="str">
        <f>"Elettroveneta S.p.A. Viale della Navigazione Interna, 48 - 35129 Padova (PD) | Sonepar Italia Nord S.p.A. Riviera Maestri del lavoro 24 35127 Padova | Marchiol S.P.A. Viale della Repubblica 41 31020 sede legale Villorba TV"</f>
        <v>Elettroveneta S.p.A. Viale della Navigazione Interna, 48 - 35129 Padova (PD) | Sonepar Italia Nord S.p.A. Riviera Maestri del lavoro 24 35127 Padova | Marchiol S.P.A. Viale della Repubblica 41 31020 sede legale Villorba TV</v>
      </c>
      <c r="O1113" t="str">
        <f>"Marchiol S.P.A. Viale della Repubblica 41 31020 sede legale Villorba TV"</f>
        <v>Marchiol S.P.A. Viale della Repubblica 41 31020 sede legale Villorba TV</v>
      </c>
      <c r="P1113" t="str">
        <f>"Z8319EAE4E: [5544.93€ ]"</f>
        <v>Z8319EAE4E: [5544.93€ ]</v>
      </c>
      <c r="Q1113" t="str">
        <f>""</f>
        <v/>
      </c>
      <c r="R1113" t="str">
        <f>""</f>
        <v/>
      </c>
      <c r="S1113" t="str">
        <f>""</f>
        <v/>
      </c>
      <c r="T1113" t="str">
        <f>"https://portaletrasparenza.consorziobacchiglione.it/dettagli/attodigara/443/fornitura-materiale-elettrico-per-ep1-idrovora-s-margherita.html"</f>
        <v>https://portaletrasparenza.consorziobacchiglione.it/dettagli/attodigara/443/fornitura-materiale-elettrico-per-ep1-idrovora-s-margherita.html</v>
      </c>
      <c r="U1113" t="str">
        <f>""</f>
        <v/>
      </c>
      <c r="V11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14" spans="1:22" x14ac:dyDescent="0.3">
      <c r="A1114" t="str">
        <f>"Affidamento"</f>
        <v>Affidamento</v>
      </c>
      <c r="B1114" t="str">
        <f>"Fornitura olio EP 1000 per supporti bronzine pompe centrifughe Idrovora S.Margherita."</f>
        <v>Fornitura olio EP 1000 per supporti bronzine pompe centrifughe Idrovora S.Margherita.</v>
      </c>
      <c r="C1114" t="str">
        <f>"Z5319EA936"</f>
        <v>Z5319EA936</v>
      </c>
      <c r="D1114" t="str">
        <f>"04/11/2021"</f>
        <v>04/11/2021</v>
      </c>
      <c r="E1114" t="str">
        <f>""</f>
        <v/>
      </c>
      <c r="F1114" t="str">
        <f>""</f>
        <v/>
      </c>
      <c r="G1114" t="str">
        <f>"153.00"</f>
        <v>153.00</v>
      </c>
      <c r="H1114" t="str">
        <f>"Consorzio di bonifica Bacchiglione"</f>
        <v>Consorzio di bonifica Bacchiglione</v>
      </c>
      <c r="I1114" t="str">
        <f>"92223390284"</f>
        <v>92223390284</v>
      </c>
      <c r="J1114" t="str">
        <f>"23-AFFIDAMENTO DIRETTO"</f>
        <v>23-AFFIDAMENTO DIRETTO</v>
      </c>
      <c r="K1114" t="str">
        <f>"18/05/2021"</f>
        <v>18/05/2021</v>
      </c>
      <c r="L1114" t="str">
        <f>"29/07/2021"</f>
        <v>29/07/2021</v>
      </c>
      <c r="M1114" t="str">
        <f>""</f>
        <v/>
      </c>
      <c r="N1114" t="str">
        <f>"Officina Biesse S.n.c. Via Matteotti 24 35020 Arzergrande PD"</f>
        <v>Officina Biesse S.n.c. Via Matteotti 24 35020 Arzergrande PD</v>
      </c>
      <c r="O1114" t="str">
        <f>"Officina Biesse S.n.c. Via Matteotti 24 35020 Arzergrande PD"</f>
        <v>Officina Biesse S.n.c. Via Matteotti 24 35020 Arzergrande PD</v>
      </c>
      <c r="P1114" t="str">
        <f>"Z5319EA936: [153.00€ ]"</f>
        <v>Z5319EA936: [153.00€ ]</v>
      </c>
      <c r="Q1114" t="str">
        <f>""</f>
        <v/>
      </c>
      <c r="R1114" t="str">
        <f>""</f>
        <v/>
      </c>
      <c r="S1114" t="str">
        <f>""</f>
        <v/>
      </c>
      <c r="T1114" t="str">
        <f>"https://portaletrasparenza.consorziobacchiglione.it/dettagli/attodigara/440/fornitura-olio-ep-1000-per-supporti-bronzine-pompe-centrifughe-idrovora-s-margherita.html"</f>
        <v>https://portaletrasparenza.consorziobacchiglione.it/dettagli/attodigara/440/fornitura-olio-ep-1000-per-supporti-bronzine-pompe-centrifughe-idrovora-s-margherita.html</v>
      </c>
      <c r="U1114" t="str">
        <f>""</f>
        <v/>
      </c>
      <c r="V111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15" spans="1:22" x14ac:dyDescent="0.3">
      <c r="A1115" t="str">
        <f>"Affidamento"</f>
        <v>Affidamento</v>
      </c>
      <c r="B1115" t="str">
        <f>"Ritiro cassone scarrabile con autocarro scolo Valli."</f>
        <v>Ritiro cassone scarrabile con autocarro scolo Valli.</v>
      </c>
      <c r="C1115" t="str">
        <f>"ZE419EA818"</f>
        <v>ZE419EA818</v>
      </c>
      <c r="D1115" t="str">
        <f>"04/11/2021"</f>
        <v>04/11/2021</v>
      </c>
      <c r="E1115" t="str">
        <f>""</f>
        <v/>
      </c>
      <c r="F1115" t="str">
        <f>""</f>
        <v/>
      </c>
      <c r="G1115" t="str">
        <f>"280.00"</f>
        <v>280.00</v>
      </c>
      <c r="H1115" t="str">
        <f>"Consorzio di bonifica Bacchiglione"</f>
        <v>Consorzio di bonifica Bacchiglione</v>
      </c>
      <c r="I1115" t="str">
        <f>"92223390284"</f>
        <v>92223390284</v>
      </c>
      <c r="J1115" t="str">
        <f>"23-AFFIDAMENTO DIRETTO"</f>
        <v>23-AFFIDAMENTO DIRETTO</v>
      </c>
      <c r="K1115" t="str">
        <f>"18/05/2021"</f>
        <v>18/05/2021</v>
      </c>
      <c r="L1115" t="str">
        <f>"04/07/2021"</f>
        <v>04/07/2021</v>
      </c>
      <c r="M1115" t="str">
        <f>""</f>
        <v/>
      </c>
      <c r="N1115" t="str">
        <f>"Zagolin Giovanni s.n.c via Boresse 5 35028 Piove di Sacco PD"</f>
        <v>Zagolin Giovanni s.n.c via Boresse 5 35028 Piove di Sacco PD</v>
      </c>
      <c r="O1115" t="str">
        <f>"Zagolin Giovanni s.n.c via Boresse 5 35028 Piove di Sacco PD"</f>
        <v>Zagolin Giovanni s.n.c via Boresse 5 35028 Piove di Sacco PD</v>
      </c>
      <c r="P1115" t="str">
        <f>"ZE419EA818: [280.00€ ]"</f>
        <v>ZE419EA818: [280.00€ ]</v>
      </c>
      <c r="Q1115" t="str">
        <f>""</f>
        <v/>
      </c>
      <c r="R1115" t="str">
        <f>""</f>
        <v/>
      </c>
      <c r="S1115" t="str">
        <f>""</f>
        <v/>
      </c>
      <c r="T1115" t="str">
        <f>"https://portaletrasparenza.consorziobacchiglione.it/dettagli/attodigara/439/ritiro-cassone-scarrabile-con-autocarro-scolo-valli.html"</f>
        <v>https://portaletrasparenza.consorziobacchiglione.it/dettagli/attodigara/439/ritiro-cassone-scarrabile-con-autocarro-scolo-valli.html</v>
      </c>
      <c r="U1115" t="str">
        <f>""</f>
        <v/>
      </c>
      <c r="V111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16" spans="1:22" x14ac:dyDescent="0.3">
      <c r="A1116" t="str">
        <f>"Affidamento"</f>
        <v>Affidamento</v>
      </c>
      <c r="B1116" t="str">
        <f>"Fornitura n 1 fusto da litri 200 di Urea per mezzo con targa: AJR631."</f>
        <v>Fornitura n 1 fusto da litri 200 di Urea per mezzo con targa: AJR631.</v>
      </c>
      <c r="C1116" t="str">
        <f>"Z2C19EAC6D"</f>
        <v>Z2C19EAC6D</v>
      </c>
      <c r="D1116" t="str">
        <f>"04/11/2021"</f>
        <v>04/11/2021</v>
      </c>
      <c r="E1116" t="str">
        <f>""</f>
        <v/>
      </c>
      <c r="F1116" t="str">
        <f>""</f>
        <v/>
      </c>
      <c r="G1116" t="str">
        <f>"164.00"</f>
        <v>164.00</v>
      </c>
      <c r="H1116" t="str">
        <f>"Consorzio di bonifica Bacchiglione"</f>
        <v>Consorzio di bonifica Bacchiglione</v>
      </c>
      <c r="I1116" t="str">
        <f>"92223390284"</f>
        <v>92223390284</v>
      </c>
      <c r="J1116" t="str">
        <f>"23-AFFIDAMENTO DIRETTO"</f>
        <v>23-AFFIDAMENTO DIRETTO</v>
      </c>
      <c r="K1116" t="str">
        <f>"18/05/2021"</f>
        <v>18/05/2021</v>
      </c>
      <c r="L1116" t="str">
        <f>"30/06/2021"</f>
        <v>30/06/2021</v>
      </c>
      <c r="M1116" t="str">
        <f>""</f>
        <v/>
      </c>
      <c r="N1116" t="str">
        <f>"Consorzio Agrario del Nordest Via Francia 2 37135 Verona"</f>
        <v>Consorzio Agrario del Nordest Via Francia 2 37135 Verona</v>
      </c>
      <c r="O1116" t="str">
        <f>"Consorzio Agrario del Nordest Via Francia 2 37135 Verona"</f>
        <v>Consorzio Agrario del Nordest Via Francia 2 37135 Verona</v>
      </c>
      <c r="P1116" t="str">
        <f>"Z2C19EAC6D: [163.78€ ]"</f>
        <v>Z2C19EAC6D: [163.78€ ]</v>
      </c>
      <c r="Q1116" t="str">
        <f>""</f>
        <v/>
      </c>
      <c r="R1116" t="str">
        <f>""</f>
        <v/>
      </c>
      <c r="S1116" t="str">
        <f>""</f>
        <v/>
      </c>
      <c r="T1116" t="str">
        <f>"https://portaletrasparenza.consorziobacchiglione.it/dettagli/attodigara/442/fornitura-n-1-fusto-da-litri-200-di-urea-per-mezzo-con-targa-ajr631.html"</f>
        <v>https://portaletrasparenza.consorziobacchiglione.it/dettagli/attodigara/442/fornitura-n-1-fusto-da-litri-200-di-urea-per-mezzo-con-targa-ajr631.html</v>
      </c>
      <c r="U1116" t="str">
        <f>""</f>
        <v/>
      </c>
      <c r="V1116">
        <f>(SUBSTITUTE(Tabella1[[#This Row],[Importo di aggiudicazione]],".",","))-(SUBSTITUTE(  SUBSTITUTE(          SUBSTITUTE(Tabella1[[#This Row],[Dettaglio somme liquidate]],Tabella1[[#This Row],[CIG]]&amp;": [",""),"€ ]",""),".",","))</f>
        <v>0.21999999999999886</v>
      </c>
    </row>
    <row r="1117" spans="1:22" x14ac:dyDescent="0.3">
      <c r="A1117" t="str">
        <f>"Affidamento"</f>
        <v>Affidamento</v>
      </c>
      <c r="B1117" t="str">
        <f>"Fornitura materiale edile per Scolo Bolzani."</f>
        <v>Fornitura materiale edile per Scolo Bolzani.</v>
      </c>
      <c r="C1117" t="str">
        <f>"ZDE19EAA66"</f>
        <v>ZDE19EAA66</v>
      </c>
      <c r="D1117" t="str">
        <f>"04/11/2021"</f>
        <v>04/11/2021</v>
      </c>
      <c r="E1117" t="str">
        <f>""</f>
        <v/>
      </c>
      <c r="F1117" t="str">
        <f>""</f>
        <v/>
      </c>
      <c r="G1117" t="str">
        <f>"2351.69"</f>
        <v>2351.69</v>
      </c>
      <c r="H1117" t="str">
        <f>"Consorzio di bonifica Bacchiglione"</f>
        <v>Consorzio di bonifica Bacchiglione</v>
      </c>
      <c r="I1117" t="str">
        <f>"92223390284"</f>
        <v>92223390284</v>
      </c>
      <c r="J1117" t="str">
        <f>"23-AFFIDAMENTO DIRETTO"</f>
        <v>23-AFFIDAMENTO DIRETTO</v>
      </c>
      <c r="K1117" t="str">
        <f>"18/05/2021"</f>
        <v>18/05/2021</v>
      </c>
      <c r="L1117" t="str">
        <f>"09/11/2021"</f>
        <v>09/11/2021</v>
      </c>
      <c r="M1117" t="str">
        <f>""</f>
        <v/>
      </c>
      <c r="N1117" t="str">
        <f>"Materiali Edili Fratelli Donà s.a.s. Via Fossalta 2 35025 Cartura PD"</f>
        <v>Materiali Edili Fratelli Donà s.a.s. Via Fossalta 2 35025 Cartura PD</v>
      </c>
      <c r="O1117" t="str">
        <f>"Materiali Edili Fratelli Donà s.a.s. Via Fossalta 2 35025 Cartura PD"</f>
        <v>Materiali Edili Fratelli Donà s.a.s. Via Fossalta 2 35025 Cartura PD</v>
      </c>
      <c r="P1117" t="str">
        <f>"ZDE19EAA66: [2123.65€ ]"</f>
        <v>ZDE19EAA66: [2123.65€ ]</v>
      </c>
      <c r="Q1117" t="str">
        <f>""</f>
        <v/>
      </c>
      <c r="R1117" t="str">
        <f>""</f>
        <v/>
      </c>
      <c r="S1117" t="str">
        <f>""</f>
        <v/>
      </c>
      <c r="T1117" t="str">
        <f>"https://portaletrasparenza.consorziobacchiglione.it/dettagli/attodigara/441/fornitura-materiale-edile-per-scolo-bolzani.html"</f>
        <v>https://portaletrasparenza.consorziobacchiglione.it/dettagli/attodigara/441/fornitura-materiale-edile-per-scolo-bolzani.html</v>
      </c>
      <c r="U1117" t="str">
        <f>""</f>
        <v/>
      </c>
      <c r="V1117">
        <f>(SUBSTITUTE(Tabella1[[#This Row],[Importo di aggiudicazione]],".",","))-(SUBSTITUTE(  SUBSTITUTE(          SUBSTITUTE(Tabella1[[#This Row],[Dettaglio somme liquidate]],Tabella1[[#This Row],[CIG]]&amp;": [",""),"€ ]",""),".",","))</f>
        <v>228.03999999999996</v>
      </c>
    </row>
    <row r="1118" spans="1:22" x14ac:dyDescent="0.3">
      <c r="A1118" t="str">
        <f>"Affidamento"</f>
        <v>Affidamento</v>
      </c>
      <c r="B1118" t="str">
        <f>"Fornitura di fresato a sistemazione della capezzagna rovinata dal transito dei mezzi durante le lavorazioni dello scolo Scarpa"</f>
        <v>Fornitura di fresato a sistemazione della capezzagna rovinata dal transito dei mezzi durante le lavorazioni dello scolo Scarpa</v>
      </c>
      <c r="C1118" t="str">
        <f>"Z5331C704C"</f>
        <v>Z5331C704C</v>
      </c>
      <c r="D1118" t="str">
        <f>"19/05/2021"</f>
        <v>19/05/2021</v>
      </c>
      <c r="E1118" t="str">
        <f>""</f>
        <v/>
      </c>
      <c r="F1118" t="str">
        <f>""</f>
        <v/>
      </c>
      <c r="G1118" t="str">
        <f>"2268.00"</f>
        <v>2268.00</v>
      </c>
      <c r="H1118" t="str">
        <f>"Consorzio di bonifica Bacchiglione"</f>
        <v>Consorzio di bonifica Bacchiglione</v>
      </c>
      <c r="I1118" t="str">
        <f>"92223390284"</f>
        <v>92223390284</v>
      </c>
      <c r="J1118" t="str">
        <f>"23-AFFIDAMENTO DIRETTO"</f>
        <v>23-AFFIDAMENTO DIRETTO</v>
      </c>
      <c r="K1118" t="str">
        <f>"18/05/2021"</f>
        <v>18/05/2021</v>
      </c>
      <c r="L1118" t="str">
        <f>"30/06/2021"</f>
        <v>30/06/2021</v>
      </c>
      <c r="M1118" t="str">
        <f>""</f>
        <v/>
      </c>
      <c r="N1118" t="str">
        <f>"Trovò s.r.l. Via Idrovora, 3 - 35020 Codevigo (PD)"</f>
        <v>Trovò s.r.l. Via Idrovora, 3 - 35020 Codevigo (PD)</v>
      </c>
      <c r="O1118" t="str">
        <f>"Trovò s.r.l. Via Idrovora, 3 - 35020 Codevigo (PD)"</f>
        <v>Trovò s.r.l. Via Idrovora, 3 - 35020 Codevigo (PD)</v>
      </c>
      <c r="P1118" t="str">
        <f>"Z5331C704C: [2268.00€ ]"</f>
        <v>Z5331C704C: [2268.00€ ]</v>
      </c>
      <c r="Q1118" t="str">
        <f>""</f>
        <v/>
      </c>
      <c r="R1118" t="str">
        <f>""</f>
        <v/>
      </c>
      <c r="S1118" t="str">
        <f>""</f>
        <v/>
      </c>
      <c r="T1118" t="str">
        <f>"https://portaletrasparenza.consorziobacchiglione.it/dettagli/attodigara/6885/fornitura-di-fresato-a-sistemazione-della-capezzagna-rovinata-dal-transito-dei-mezzi-durante-le-lavorazioni-dello-scolo-scarpa.html"</f>
        <v>https://portaletrasparenza.consorziobacchiglione.it/dettagli/attodigara/6885/fornitura-di-fresato-a-sistemazione-della-capezzagna-rovinata-dal-transito-dei-mezzi-durante-le-lavorazioni-dello-scolo-scarpa.html</v>
      </c>
      <c r="U1118" t="str">
        <f>"https://portaletrasparenza.consorziobacchiglione.it/download/attodigara/6885/63ac458d36bc9.PDF"</f>
        <v>https://portaletrasparenza.consorziobacchiglione.it/download/attodigara/6885/63ac458d36bc9.PDF</v>
      </c>
      <c r="V111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19" spans="1:22" x14ac:dyDescent="0.3">
      <c r="A1119" t="str">
        <f>"Affidamento"</f>
        <v>Affidamento</v>
      </c>
      <c r="B1119" t="str">
        <f>"Revisione estintori in dotazione presso Impianti Consortili distribuiti nel comprensorio"</f>
        <v>Revisione estintori in dotazione presso Impianti Consortili distribuiti nel comprensorio</v>
      </c>
      <c r="C1119" t="str">
        <f>"ZD1322B5F3"</f>
        <v>ZD1322B5F3</v>
      </c>
      <c r="D1119" t="str">
        <f>"06/07/2021"</f>
        <v>06/07/2021</v>
      </c>
      <c r="E1119" t="str">
        <f>""</f>
        <v/>
      </c>
      <c r="F1119" t="str">
        <f>""</f>
        <v/>
      </c>
      <c r="G1119" t="str">
        <f>"689.00"</f>
        <v>689.00</v>
      </c>
      <c r="H1119" t="str">
        <f>"Consorzio di bonifica Bacchiglione"</f>
        <v>Consorzio di bonifica Bacchiglione</v>
      </c>
      <c r="I1119" t="str">
        <f>"92223390284"</f>
        <v>92223390284</v>
      </c>
      <c r="J1119" t="str">
        <f>"23-AFFIDAMENTO DIRETTO"</f>
        <v>23-AFFIDAMENTO DIRETTO</v>
      </c>
      <c r="K1119" t="str">
        <f>"18/06/2021"</f>
        <v>18/06/2021</v>
      </c>
      <c r="L1119" t="str">
        <f>"21/12/2021"</f>
        <v>21/12/2021</v>
      </c>
      <c r="M1119" t="str">
        <f>""</f>
        <v/>
      </c>
      <c r="N1119" t="str">
        <f>"Bergamaschi Antincendi Antinfortunistica Padova s.r.l. Via G. Galilei 2-I 35030 Caselle di Selvazzano PD"</f>
        <v>Bergamaschi Antincendi Antinfortunistica Padova s.r.l. Via G. Galilei 2-I 35030 Caselle di Selvazzano PD</v>
      </c>
      <c r="O1119" t="str">
        <f>"Bergamaschi Antincendi Antinfortunistica Padova s.r.l. Via G. Galilei 2-I 35030 Caselle di Selvazzano PD"</f>
        <v>Bergamaschi Antincendi Antinfortunistica Padova s.r.l. Via G. Galilei 2-I 35030 Caselle di Selvazzano PD</v>
      </c>
      <c r="P1119" t="s">
        <v>253</v>
      </c>
      <c r="Q1119" t="str">
        <f>""</f>
        <v/>
      </c>
      <c r="R1119" t="str">
        <f>""</f>
        <v/>
      </c>
      <c r="S1119" t="str">
        <f>""</f>
        <v/>
      </c>
      <c r="T1119" t="str">
        <f>"https://portaletrasparenza.consorziobacchiglione.it/dettagli/attodigara/6961/revisione-estintori-in-dotazione-presso-impianti-consortili-distribuiti-nel-comprensorio.html"</f>
        <v>https://portaletrasparenza.consorziobacchiglione.it/dettagli/attodigara/6961/revisione-estintori-in-dotazione-presso-impianti-consortili-distribuiti-nel-comprensorio.html</v>
      </c>
      <c r="U1119" t="str">
        <f>"https://portaletrasparenza.consorziobacchiglione.it/download/attodigara/6961/63ac45a03cc30.PDF"</f>
        <v>https://portaletrasparenza.consorziobacchiglione.it/download/attodigara/6961/63ac45a03cc30.PDF</v>
      </c>
      <c r="V111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20" spans="1:22" x14ac:dyDescent="0.3">
      <c r="A1120" t="str">
        <f>"Affidamento"</f>
        <v>Affidamento</v>
      </c>
      <c r="B1120" t="str">
        <f>"Riparazione testata decespugliatrice TSPA 150 TL presso mezzo targato: AJR631"</f>
        <v>Riparazione testata decespugliatrice TSPA 150 TL presso mezzo targato: AJR631</v>
      </c>
      <c r="C1120" t="str">
        <f>"Z0E322D8A7"</f>
        <v>Z0E322D8A7</v>
      </c>
      <c r="D1120" t="str">
        <f>"06/07/2021"</f>
        <v>06/07/2021</v>
      </c>
      <c r="E1120" t="str">
        <f>""</f>
        <v/>
      </c>
      <c r="F1120" t="str">
        <f>""</f>
        <v/>
      </c>
      <c r="G1120" t="str">
        <f>"2321.49"</f>
        <v>2321.49</v>
      </c>
      <c r="H1120" t="str">
        <f>"Consorzio di bonifica Bacchiglione"</f>
        <v>Consorzio di bonifica Bacchiglione</v>
      </c>
      <c r="I1120" t="str">
        <f>"92223390284"</f>
        <v>92223390284</v>
      </c>
      <c r="J1120" t="str">
        <f>"23-AFFIDAMENTO DIRETTO"</f>
        <v>23-AFFIDAMENTO DIRETTO</v>
      </c>
      <c r="K1120" t="str">
        <f>"18/06/2021"</f>
        <v>18/06/2021</v>
      </c>
      <c r="L1120" t="str">
        <f>"05/08/2021"</f>
        <v>05/08/2021</v>
      </c>
      <c r="M1120" t="str">
        <f>""</f>
        <v/>
      </c>
      <c r="N1120" t="str">
        <f>"Hymach s.r.l. Viale del Commercio 73 45039 Stienta RO"</f>
        <v>Hymach s.r.l. Viale del Commercio 73 45039 Stienta RO</v>
      </c>
      <c r="O1120" t="str">
        <f>"Hymach s.r.l. Viale del Commercio 73 45039 Stienta RO"</f>
        <v>Hymach s.r.l. Viale del Commercio 73 45039 Stienta RO</v>
      </c>
      <c r="P1120" t="str">
        <f>"Z0E322D8A7: [2321.49€ ]"</f>
        <v>Z0E322D8A7: [2321.49€ ]</v>
      </c>
      <c r="Q1120" t="str">
        <f>""</f>
        <v/>
      </c>
      <c r="R1120" t="str">
        <f>""</f>
        <v/>
      </c>
      <c r="S1120" t="str">
        <f>""</f>
        <v/>
      </c>
      <c r="T1120" t="str">
        <f>"https://portaletrasparenza.consorziobacchiglione.it/dettagli/attodigara/6962/riparazione-testata-decespugliatrice-tspa-150-tl-presso-mezzo-targato-ajr631.html"</f>
        <v>https://portaletrasparenza.consorziobacchiglione.it/dettagli/attodigara/6962/riparazione-testata-decespugliatrice-tspa-150-tl-presso-mezzo-targato-ajr631.html</v>
      </c>
      <c r="U1120" t="str">
        <f>"https://portaletrasparenza.consorziobacchiglione.it/download/attodigara/6962/63ac45a075874.PDF,https://portaletrasparenza.consorziobacchiglione.it/download/attodigara/6962/63ac45a075b38.doc"</f>
        <v>https://portaletrasparenza.consorziobacchiglione.it/download/attodigara/6962/63ac45a075874.PDF,https://portaletrasparenza.consorziobacchiglione.it/download/attodigara/6962/63ac45a075b38.doc</v>
      </c>
      <c r="V112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21" spans="1:22" x14ac:dyDescent="0.3">
      <c r="A1121" t="str">
        <f>"Affidamento"</f>
        <v>Affidamento</v>
      </c>
      <c r="B1121" t="str">
        <f>"Fornitura materiale edile per bacino Delta Brenta."</f>
        <v>Fornitura materiale edile per bacino Delta Brenta.</v>
      </c>
      <c r="C1121" t="str">
        <f>"ZF41AAD660"</f>
        <v>ZF41AAD660</v>
      </c>
      <c r="D1121" t="str">
        <f>"04/11/2021"</f>
        <v>04/11/2021</v>
      </c>
      <c r="E1121" t="str">
        <f>""</f>
        <v/>
      </c>
      <c r="F1121" t="str">
        <f>""</f>
        <v/>
      </c>
      <c r="G1121" t="str">
        <f>"260.50"</f>
        <v>260.50</v>
      </c>
      <c r="H1121" t="str">
        <f>"Consorzio di bonifica Bacchiglione"</f>
        <v>Consorzio di bonifica Bacchiglione</v>
      </c>
      <c r="I1121" t="str">
        <f>"92223390284"</f>
        <v>92223390284</v>
      </c>
      <c r="J1121" t="str">
        <f>"23-AFFIDAMENTO DIRETTO"</f>
        <v>23-AFFIDAMENTO DIRETTO</v>
      </c>
      <c r="K1121" t="str">
        <f>"18/07/2021"</f>
        <v>18/07/2021</v>
      </c>
      <c r="L1121" t="str">
        <f>"16/09/2021"</f>
        <v>16/09/2021</v>
      </c>
      <c r="M1121" t="str">
        <f>""</f>
        <v/>
      </c>
      <c r="N1121" t="str">
        <f>"Gollo Giovanni Via Vallona 65 35020 Conche di Codevigo PD"</f>
        <v>Gollo Giovanni Via Vallona 65 35020 Conche di Codevigo PD</v>
      </c>
      <c r="O1121" t="str">
        <f>"Gollo Giovanni Via Vallona 65 35020 Conche di Codevigo PD"</f>
        <v>Gollo Giovanni Via Vallona 65 35020 Conche di Codevigo PD</v>
      </c>
      <c r="P1121" t="str">
        <f>"ZF41AAD660: [260.50€ ]"</f>
        <v>ZF41AAD660: [260.50€ ]</v>
      </c>
      <c r="Q1121" t="str">
        <f>""</f>
        <v/>
      </c>
      <c r="R1121" t="str">
        <f>""</f>
        <v/>
      </c>
      <c r="S1121" t="str">
        <f>""</f>
        <v/>
      </c>
      <c r="T1121" t="str">
        <f>"https://portaletrasparenza.consorziobacchiglione.it/dettagli/attodigara/596/fornitura-materiale-edile-per-bacino-delta-brenta.html"</f>
        <v>https://portaletrasparenza.consorziobacchiglione.it/dettagli/attodigara/596/fornitura-materiale-edile-per-bacino-delta-brenta.html</v>
      </c>
      <c r="U1121" t="str">
        <f>""</f>
        <v/>
      </c>
      <c r="V11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22" spans="1:22" x14ac:dyDescent="0.3">
      <c r="A1122" t="str">
        <f>"Affidamento"</f>
        <v>Affidamento</v>
      </c>
      <c r="B1122" t="str">
        <f>"Fornitura materiale di ferramenta per C.O.S.Margherita, impianto irriguo Magaratto."</f>
        <v>Fornitura materiale di ferramenta per C.O.S.Margherita, impianto irriguo Magaratto.</v>
      </c>
      <c r="C1122" t="str">
        <f>"Z001AAD748"</f>
        <v>Z001AAD748</v>
      </c>
      <c r="D1122" t="str">
        <f>"04/11/2021"</f>
        <v>04/11/2021</v>
      </c>
      <c r="E1122" t="str">
        <f>""</f>
        <v/>
      </c>
      <c r="F1122" t="str">
        <f>""</f>
        <v/>
      </c>
      <c r="G1122" t="str">
        <f>"392.73"</f>
        <v>392.73</v>
      </c>
      <c r="H1122" t="str">
        <f>"Consorzio di bonifica Bacchiglione"</f>
        <v>Consorzio di bonifica Bacchiglione</v>
      </c>
      <c r="I1122" t="str">
        <f>"92223390284"</f>
        <v>92223390284</v>
      </c>
      <c r="J1122" t="str">
        <f>"23-AFFIDAMENTO DIRETTO"</f>
        <v>23-AFFIDAMENTO DIRETTO</v>
      </c>
      <c r="K1122" t="str">
        <f>"18/07/2021"</f>
        <v>18/07/2021</v>
      </c>
      <c r="L1122" t="str">
        <f>"16/09/2021"</f>
        <v>16/09/2021</v>
      </c>
      <c r="M1122" t="str">
        <f>""</f>
        <v/>
      </c>
      <c r="N1122" t="str">
        <f>"Idronord s.r.l. Via delle Industrie 3C 30036 Santa Maria Di Sala VE"</f>
        <v>Idronord s.r.l. Via delle Industrie 3C 30036 Santa Maria Di Sala VE</v>
      </c>
      <c r="O1122" t="str">
        <f>"Idronord s.r.l. Via delle Industrie 3C 30036 Santa Maria Di Sala VE"</f>
        <v>Idronord s.r.l. Via delle Industrie 3C 30036 Santa Maria Di Sala VE</v>
      </c>
      <c r="P1122" t="str">
        <f>"Z001AAD748: [321.91€ ]"</f>
        <v>Z001AAD748: [321.91€ ]</v>
      </c>
      <c r="Q1122" t="str">
        <f>""</f>
        <v/>
      </c>
      <c r="R1122" t="str">
        <f>""</f>
        <v/>
      </c>
      <c r="S1122" t="str">
        <f>""</f>
        <v/>
      </c>
      <c r="T1122" t="str">
        <f>"https://portaletrasparenza.consorziobacchiglione.it/dettagli/attodigara/597/fornitura-materiale-di-ferramenta-per-c-o-s-margherita-impianto-irriguo-magaratto.html"</f>
        <v>https://portaletrasparenza.consorziobacchiglione.it/dettagli/attodigara/597/fornitura-materiale-di-ferramenta-per-c-o-s-margherita-impianto-irriguo-magaratto.html</v>
      </c>
      <c r="U1122" t="str">
        <f>""</f>
        <v/>
      </c>
      <c r="V1122">
        <f>(SUBSTITUTE(Tabella1[[#This Row],[Importo di aggiudicazione]],".",","))-(SUBSTITUTE(  SUBSTITUTE(          SUBSTITUTE(Tabella1[[#This Row],[Dettaglio somme liquidate]],Tabella1[[#This Row],[CIG]]&amp;": [",""),"€ ]",""),".",","))</f>
        <v>70.819999999999993</v>
      </c>
    </row>
    <row r="1123" spans="1:22" x14ac:dyDescent="0.3">
      <c r="A1123" t="str">
        <f>"Affidamento"</f>
        <v>Affidamento</v>
      </c>
      <c r="B1123" t="str">
        <f>"Servizio di installazione SQL 2008 da remoto e traslazione database protocollo."</f>
        <v>Servizio di installazione SQL 2008 da remoto e traslazione database protocollo.</v>
      </c>
      <c r="C1123" t="str">
        <f>"ZDC1AF2E9F"</f>
        <v>ZDC1AF2E9F</v>
      </c>
      <c r="D1123" t="str">
        <f>"04/11/2021"</f>
        <v>04/11/2021</v>
      </c>
      <c r="E1123" t="str">
        <f>""</f>
        <v/>
      </c>
      <c r="F1123" t="str">
        <f>""</f>
        <v/>
      </c>
      <c r="G1123" t="str">
        <f>"400.00"</f>
        <v>400.00</v>
      </c>
      <c r="H1123" t="str">
        <f>"Consorzio di bonifica Bacchiglione"</f>
        <v>Consorzio di bonifica Bacchiglione</v>
      </c>
      <c r="I1123" t="str">
        <f>"92223390284"</f>
        <v>92223390284</v>
      </c>
      <c r="J1123" t="str">
        <f>"23-AFFIDAMENTO DIRETTO"</f>
        <v>23-AFFIDAMENTO DIRETTO</v>
      </c>
      <c r="K1123" t="str">
        <f>"18/08/2021"</f>
        <v>18/08/2021</v>
      </c>
      <c r="L1123" t="str">
        <f>"23/01/2021"</f>
        <v>23/01/2021</v>
      </c>
      <c r="M1123" t="str">
        <f>""</f>
        <v/>
      </c>
      <c r="N1123" t="str">
        <f>"DATAGRAPH S.R.L."</f>
        <v>DATAGRAPH S.R.L.</v>
      </c>
      <c r="O1123" t="str">
        <f>"DATAGRAPH S.R.L."</f>
        <v>DATAGRAPH S.R.L.</v>
      </c>
      <c r="P1123" t="str">
        <f>"ZDC1AF2E9F: [400.00€ ]"</f>
        <v>ZDC1AF2E9F: [400.00€ ]</v>
      </c>
      <c r="Q1123" t="str">
        <f>""</f>
        <v/>
      </c>
      <c r="R1123" t="str">
        <f>""</f>
        <v/>
      </c>
      <c r="S1123" t="str">
        <f>""</f>
        <v/>
      </c>
      <c r="T1123" t="str">
        <f>"https://portaletrasparenza.consorziobacchiglione.it/dettagli/attodigara/678/servizio-di-installazione-sql-2008-da-remoto-e-traslazione-database-protocollo.html"</f>
        <v>https://portaletrasparenza.consorziobacchiglione.it/dettagli/attodigara/678/servizio-di-installazione-sql-2008-da-remoto-e-traslazione-database-protocollo.html</v>
      </c>
      <c r="U1123" t="str">
        <f>""</f>
        <v/>
      </c>
      <c r="V11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24" spans="1:22" x14ac:dyDescent="0.3">
      <c r="A1124" t="str">
        <f>"Affidamento"</f>
        <v>Affidamento</v>
      </c>
      <c r="B1124" t="str">
        <f>"Progetto di valorizzazione del patrimonio materiale e immateriale dei Consorzi di bonifica. Servizio di digitalizzazione di documentazione cartografica."</f>
        <v>Progetto di valorizzazione del patrimonio materiale e immateriale dei Consorzi di bonifica. Servizio di digitalizzazione di documentazione cartografica.</v>
      </c>
      <c r="C1124" t="str">
        <f>"Z1E1AF2D6A"</f>
        <v>Z1E1AF2D6A</v>
      </c>
      <c r="D1124" t="str">
        <f>"04/11/2021"</f>
        <v>04/11/2021</v>
      </c>
      <c r="E1124" t="str">
        <f>""</f>
        <v/>
      </c>
      <c r="F1124" t="str">
        <f>""</f>
        <v/>
      </c>
      <c r="G1124" t="str">
        <f>"150.00"</f>
        <v>150.00</v>
      </c>
      <c r="H1124" t="str">
        <f>"Consorzio di bonifica Bacchiglione"</f>
        <v>Consorzio di bonifica Bacchiglione</v>
      </c>
      <c r="I1124" t="str">
        <f>"92223390284"</f>
        <v>92223390284</v>
      </c>
      <c r="J1124" t="str">
        <f>"23-AFFIDAMENTO DIRETTO"</f>
        <v>23-AFFIDAMENTO DIRETTO</v>
      </c>
      <c r="K1124" t="str">
        <f>"18/08/2021"</f>
        <v>18/08/2021</v>
      </c>
      <c r="L1124" t="str">
        <f>"23/01/2021"</f>
        <v>23/01/2021</v>
      </c>
      <c r="M1124" t="str">
        <f>""</f>
        <v/>
      </c>
      <c r="N1124" t="str">
        <f>"DATA ARCHIVI DI MASTRONARDI MARIA VINCENZA"</f>
        <v>DATA ARCHIVI DI MASTRONARDI MARIA VINCENZA</v>
      </c>
      <c r="O1124" t="str">
        <f>"DATA ARCHIVI DI MASTRONARDI MARIA VINCENZA"</f>
        <v>DATA ARCHIVI DI MASTRONARDI MARIA VINCENZA</v>
      </c>
      <c r="P1124" t="str">
        <f>"Z1E1AF2D6A: [150.00€ ]"</f>
        <v>Z1E1AF2D6A: [150.00€ ]</v>
      </c>
      <c r="Q1124" t="str">
        <f>""</f>
        <v/>
      </c>
      <c r="R1124" t="str">
        <f>""</f>
        <v/>
      </c>
      <c r="S1124" t="str">
        <f>""</f>
        <v/>
      </c>
      <c r="T1124" t="str">
        <f>"https://portaletrasparenza.consorziobacchiglione.it/dettagli/attodigara/677/progetto-di-valorizzazione-del-patrimonio-materiale-e-immateriale-dei-consorzi-di-bonifica-servizio-di-digitalizzazione-di-documentazione-cartografica.html"</f>
        <v>https://portaletrasparenza.consorziobacchiglione.it/dettagli/attodigara/677/progetto-di-valorizzazione-del-patrimonio-materiale-e-immateriale-dei-consorzi-di-bonifica-servizio-di-digitalizzazione-di-documentazione-cartografica.html</v>
      </c>
      <c r="U1124" t="str">
        <f>""</f>
        <v/>
      </c>
      <c r="V11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25" spans="1:22" x14ac:dyDescent="0.3">
      <c r="A1125" t="str">
        <f>"Affidamento"</f>
        <v>Affidamento</v>
      </c>
      <c r="B1125" t="str">
        <f>"Servizio di progettazione grafica di un segno distintivo comune della manifestazione \'Alluvione del 1966\'."</f>
        <v>Servizio di progettazione grafica di un segno distintivo comune della manifestazione \'Alluvione del 1966\'.</v>
      </c>
      <c r="C1125" t="str">
        <f>"ZD21AF2801"</f>
        <v>ZD21AF2801</v>
      </c>
      <c r="D1125" t="str">
        <f>"04/11/2021"</f>
        <v>04/11/2021</v>
      </c>
      <c r="E1125" t="str">
        <f>""</f>
        <v/>
      </c>
      <c r="F1125" t="str">
        <f>""</f>
        <v/>
      </c>
      <c r="G1125" t="str">
        <f>"625.00"</f>
        <v>625.00</v>
      </c>
      <c r="H1125" t="str">
        <f>"Consorzio di bonifica Bacchiglione"</f>
        <v>Consorzio di bonifica Bacchiglione</v>
      </c>
      <c r="I1125" t="str">
        <f>"92223390284"</f>
        <v>92223390284</v>
      </c>
      <c r="J1125" t="str">
        <f>"23-AFFIDAMENTO DIRETTO"</f>
        <v>23-AFFIDAMENTO DIRETTO</v>
      </c>
      <c r="K1125" t="str">
        <f>"18/08/2021"</f>
        <v>18/08/2021</v>
      </c>
      <c r="L1125" t="str">
        <f>"10/09/2021"</f>
        <v>10/09/2021</v>
      </c>
      <c r="M1125" t="str">
        <f>""</f>
        <v/>
      </c>
      <c r="N1125" t="str">
        <f>"BERTIN MATTEO"</f>
        <v>BERTIN MATTEO</v>
      </c>
      <c r="O1125" t="str">
        <f>"BERTIN MATTEO"</f>
        <v>BERTIN MATTEO</v>
      </c>
      <c r="P1125" t="str">
        <f>"ZD21AF2801: [625.00€ ]"</f>
        <v>ZD21AF2801: [625.00€ ]</v>
      </c>
      <c r="Q1125" t="str">
        <f>""</f>
        <v/>
      </c>
      <c r="R1125" t="str">
        <f>""</f>
        <v/>
      </c>
      <c r="S1125" t="str">
        <f>""</f>
        <v/>
      </c>
      <c r="T1125" t="str">
        <f>"https://portaletrasparenza.consorziobacchiglione.it/dettagli/attodigara/675/servizio-di-progettazione-grafica-di-un-segno-distintivo-comune-della-manifestazione-alluvione-del-1966.html"</f>
        <v>https://portaletrasparenza.consorziobacchiglione.it/dettagli/attodigara/675/servizio-di-progettazione-grafica-di-un-segno-distintivo-comune-della-manifestazione-alluvione-del-1966.html</v>
      </c>
      <c r="U1125" t="str">
        <f>""</f>
        <v/>
      </c>
      <c r="V11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26" spans="1:22" x14ac:dyDescent="0.3">
      <c r="A1126" t="str">
        <f>"Affidamento"</f>
        <v>Affidamento</v>
      </c>
      <c r="B1126" t="str">
        <f>"FORNITURA DI N. 5000 OPUSCOLI RIPORTANTI IL FUMETTO ALLUVIONE DEL 1966"</f>
        <v>FORNITURA DI N. 5000 OPUSCOLI RIPORTANTI IL FUMETTO ALLUVIONE DEL 1966</v>
      </c>
      <c r="C1126" t="str">
        <f>"Z281AF264E"</f>
        <v>Z281AF264E</v>
      </c>
      <c r="D1126" t="str">
        <f>"04/11/2021"</f>
        <v>04/11/2021</v>
      </c>
      <c r="E1126" t="str">
        <f>""</f>
        <v/>
      </c>
      <c r="F1126" t="str">
        <f>""</f>
        <v/>
      </c>
      <c r="G1126" t="str">
        <f>"2192.00"</f>
        <v>2192.00</v>
      </c>
      <c r="H1126" t="str">
        <f>"Consorzio di bonifica Bacchiglione"</f>
        <v>Consorzio di bonifica Bacchiglione</v>
      </c>
      <c r="I1126" t="str">
        <f>"92223390284"</f>
        <v>92223390284</v>
      </c>
      <c r="J1126" t="str">
        <f>"08-AFFIDAMENTO IN ECONOMIA - COTTIMO FIDUCIARIO"</f>
        <v>08-AFFIDAMENTO IN ECONOMIA - COTTIMO FIDUCIARIO</v>
      </c>
      <c r="K1126" t="str">
        <f>"18/08/2021"</f>
        <v>18/08/2021</v>
      </c>
      <c r="L1126" t="str">
        <f>"23/01/2021"</f>
        <v>23/01/2021</v>
      </c>
      <c r="M1126" t="str">
        <f>""</f>
        <v/>
      </c>
      <c r="N1126" t="str">
        <f>"TIPOGRAFIA VERONESE S.R.L."</f>
        <v>TIPOGRAFIA VERONESE S.R.L.</v>
      </c>
      <c r="O1126" t="str">
        <f>"TIPOGRAFIA VERONESE S.R.L."</f>
        <v>TIPOGRAFIA VERONESE S.R.L.</v>
      </c>
      <c r="P1126" t="str">
        <f>"Z281AF264E: [2192.00€ ]"</f>
        <v>Z281AF264E: [2192.00€ ]</v>
      </c>
      <c r="Q1126" t="str">
        <f>""</f>
        <v/>
      </c>
      <c r="R1126" t="str">
        <f>""</f>
        <v/>
      </c>
      <c r="S1126" t="str">
        <f>""</f>
        <v/>
      </c>
      <c r="T1126" t="str">
        <f>"https://portaletrasparenza.consorziobacchiglione.it/dettagli/attodigara/674/fornitura-di-n-5000-opuscoli-riportanti-il-fumetto-alluvione-del-1966.html"</f>
        <v>https://portaletrasparenza.consorziobacchiglione.it/dettagli/attodigara/674/fornitura-di-n-5000-opuscoli-riportanti-il-fumetto-alluvione-del-1966.html</v>
      </c>
      <c r="U1126" t="str">
        <f>""</f>
        <v/>
      </c>
      <c r="V11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27" spans="1:22" x14ac:dyDescent="0.3">
      <c r="A1127" t="str">
        <f>"Affidamento"</f>
        <v>Affidamento</v>
      </c>
      <c r="B1127" t="str">
        <f>"Esposizione fotografica \'La lezione del 66\' - servizio di stampa tipografica di pannelli e banner."</f>
        <v>Esposizione fotografica \'La lezione del 66\' - servizio di stampa tipografica di pannelli e banner.</v>
      </c>
      <c r="C1127" t="str">
        <f>"Z9A1AF2C85"</f>
        <v>Z9A1AF2C85</v>
      </c>
      <c r="D1127" t="str">
        <f>"04/11/2021"</f>
        <v>04/11/2021</v>
      </c>
      <c r="E1127" t="str">
        <f>""</f>
        <v/>
      </c>
      <c r="F1127" t="str">
        <f>""</f>
        <v/>
      </c>
      <c r="G1127" t="str">
        <f>"2328.00"</f>
        <v>2328.00</v>
      </c>
      <c r="H1127" t="str">
        <f>"Consorzio di bonifica Bacchiglione"</f>
        <v>Consorzio di bonifica Bacchiglione</v>
      </c>
      <c r="I1127" t="str">
        <f>"92223390284"</f>
        <v>92223390284</v>
      </c>
      <c r="J1127" t="str">
        <f>"23-AFFIDAMENTO DIRETTO"</f>
        <v>23-AFFIDAMENTO DIRETTO</v>
      </c>
      <c r="K1127" t="str">
        <f>"18/08/2021"</f>
        <v>18/08/2021</v>
      </c>
      <c r="L1127" t="str">
        <f>"10/11/2021"</f>
        <v>10/11/2021</v>
      </c>
      <c r="M1127" t="str">
        <f>""</f>
        <v/>
      </c>
      <c r="N1127" t="str">
        <f>"CENTRO COPIE BERCHET DI SACCUMAN C. E C. S.A.S."</f>
        <v>CENTRO COPIE BERCHET DI SACCUMAN C. E C. S.A.S.</v>
      </c>
      <c r="O1127" t="str">
        <f>"CENTRO COPIE BERCHET DI SACCUMAN C. E C. S.A.S."</f>
        <v>CENTRO COPIE BERCHET DI SACCUMAN C. E C. S.A.S.</v>
      </c>
      <c r="P1127" t="str">
        <f>"Z9A1AF2C85: [1758.00€ ]"</f>
        <v>Z9A1AF2C85: [1758.00€ ]</v>
      </c>
      <c r="Q1127" t="str">
        <f>""</f>
        <v/>
      </c>
      <c r="R1127" t="str">
        <f>""</f>
        <v/>
      </c>
      <c r="S1127" t="str">
        <f>""</f>
        <v/>
      </c>
      <c r="T1127" t="str">
        <f>"https://portaletrasparenza.consorziobacchiglione.it/dettagli/attodigara/676/esposizione-fotografica-la-lezione-del-66-servizio-di-stampa-tipografica-di-pannelli-e-banner.html"</f>
        <v>https://portaletrasparenza.consorziobacchiglione.it/dettagli/attodigara/676/esposizione-fotografica-la-lezione-del-66-servizio-di-stampa-tipografica-di-pannelli-e-banner.html</v>
      </c>
      <c r="U1127" t="str">
        <f>""</f>
        <v/>
      </c>
      <c r="V1127">
        <f>(SUBSTITUTE(Tabella1[[#This Row],[Importo di aggiudicazione]],".",","))-(SUBSTITUTE(  SUBSTITUTE(          SUBSTITUTE(Tabella1[[#This Row],[Dettaglio somme liquidate]],Tabella1[[#This Row],[CIG]]&amp;": [",""),"€ ]",""),".",","))</f>
        <v>570</v>
      </c>
    </row>
    <row r="1128" spans="1:22" x14ac:dyDescent="0.3">
      <c r="A1128" t="str">
        <f>"Affidamento"</f>
        <v>Affidamento</v>
      </c>
      <c r="B1128" t="str">
        <f>"Aggiornamento incarico per progettazione definitiva - esecutiva ed assistenza alla Direzione Lavori realtivamente al nuovo ponte di Via Idrovora in località S. Margherita di Codevigo (PD) - Processo ID 018-20."</f>
        <v>Aggiornamento incarico per progettazione definitiva - esecutiva ed assistenza alla Direzione Lavori realtivamente al nuovo ponte di Via Idrovora in località S. Margherita di Codevigo (PD) - Processo ID 018-20.</v>
      </c>
      <c r="C1128" t="str">
        <f>"Z2232CA142"</f>
        <v>Z2232CA142</v>
      </c>
      <c r="D1128" t="str">
        <f>"20/08/2021"</f>
        <v>20/08/2021</v>
      </c>
      <c r="E1128" t="str">
        <f>""</f>
        <v/>
      </c>
      <c r="F1128" t="str">
        <f>""</f>
        <v/>
      </c>
      <c r="G1128" t="str">
        <f>"10743.20"</f>
        <v>10743.20</v>
      </c>
      <c r="H1128" t="str">
        <f>"Consorzio di bonifica Bacchiglione"</f>
        <v>Consorzio di bonifica Bacchiglione</v>
      </c>
      <c r="I1128" t="str">
        <f>"92223390284"</f>
        <v>92223390284</v>
      </c>
      <c r="J1128" t="str">
        <f>"23-AFFIDAMENTO DIRETTO"</f>
        <v>23-AFFIDAMENTO DIRETTO</v>
      </c>
      <c r="K1128" t="str">
        <f>"18/08/2021"</f>
        <v>18/08/2021</v>
      </c>
      <c r="L1128" t="str">
        <f>"20/01/2023"</f>
        <v>20/01/2023</v>
      </c>
      <c r="M1128" t="str">
        <f>""</f>
        <v/>
      </c>
      <c r="N1128" t="str">
        <f>"SIST - Studio di Ingegneria Strutturale Organte E Bortot"</f>
        <v>SIST - Studio di Ingegneria Strutturale Organte E Bortot</v>
      </c>
      <c r="O1128" t="str">
        <f>"SIST - Studio di Ingegneria Strutturale Organte E Bortot"</f>
        <v>SIST - Studio di Ingegneria Strutturale Organte E Bortot</v>
      </c>
      <c r="P1128" t="s">
        <v>180</v>
      </c>
      <c r="Q1128" t="str">
        <f>""</f>
        <v/>
      </c>
      <c r="R1128" t="str">
        <f>""</f>
        <v/>
      </c>
      <c r="S1128" t="str">
        <f>""</f>
        <v/>
      </c>
      <c r="T1128" t="s">
        <v>88</v>
      </c>
      <c r="U1128" t="str">
        <f>"https://portaletrasparenza.consorziobacchiglione.it/download/attodigara/7075/63e646e301460.PDF"</f>
        <v>https://portaletrasparenza.consorziobacchiglione.it/download/attodigara/7075/63e646e301460.PDF</v>
      </c>
      <c r="V11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29" spans="1:22" x14ac:dyDescent="0.3">
      <c r="A1129" t="str">
        <f>"Affidamento"</f>
        <v>Affidamento</v>
      </c>
      <c r="B1129" t="str">
        <f>"Intervento tecnico per verifica ed eventuale taratura su n. 3 sistemi di pesature di nostra proprietà"</f>
        <v>Intervento tecnico per verifica ed eventuale taratura su n. 3 sistemi di pesature di nostra proprietà</v>
      </c>
      <c r="C1129" t="str">
        <f>"ZEA32C4418"</f>
        <v>ZEA32C4418</v>
      </c>
      <c r="D1129" t="str">
        <f>"23/08/2021"</f>
        <v>23/08/2021</v>
      </c>
      <c r="E1129" t="str">
        <f>""</f>
        <v/>
      </c>
      <c r="F1129" t="str">
        <f>""</f>
        <v/>
      </c>
      <c r="G1129" t="str">
        <f>"180.00"</f>
        <v>180.00</v>
      </c>
      <c r="H1129" t="str">
        <f>"Consorzio di bonifica Bacchiglione"</f>
        <v>Consorzio di bonifica Bacchiglione</v>
      </c>
      <c r="I1129" t="str">
        <f>"92223390284"</f>
        <v>92223390284</v>
      </c>
      <c r="J1129" t="str">
        <f>"23-AFFIDAMENTO DIRETTO"</f>
        <v>23-AFFIDAMENTO DIRETTO</v>
      </c>
      <c r="K1129" t="str">
        <f>"18/08/2021"</f>
        <v>18/08/2021</v>
      </c>
      <c r="L1129" t="str">
        <f>"07/10/2021"</f>
        <v>07/10/2021</v>
      </c>
      <c r="M1129" t="str">
        <f>""</f>
        <v/>
      </c>
      <c r="N1129" t="str">
        <f>"Mezzalana s.n.c. di Gianni Mezzalana E C Via Polonia 11 35028 Piove di Sacco PD"</f>
        <v>Mezzalana s.n.c. di Gianni Mezzalana E C Via Polonia 11 35028 Piove di Sacco PD</v>
      </c>
      <c r="O1129" t="str">
        <f>"Mezzalana s.n.c. di Gianni Mezzalana E C Via Polonia 11 35028 Piove di Sacco PD"</f>
        <v>Mezzalana s.n.c. di Gianni Mezzalana E C Via Polonia 11 35028 Piove di Sacco PD</v>
      </c>
      <c r="P1129" t="str">
        <f>"ZEA32C4418: [180.00€ ]"</f>
        <v>ZEA32C4418: [180.00€ ]</v>
      </c>
      <c r="Q1129" t="str">
        <f>""</f>
        <v/>
      </c>
      <c r="R1129" t="str">
        <f>""</f>
        <v/>
      </c>
      <c r="S1129" t="str">
        <f>""</f>
        <v/>
      </c>
      <c r="T1129" t="str">
        <f>"https://portaletrasparenza.consorziobacchiglione.it/dettagli/attodigara/7076/intervento-tecnico-per-verifica-ed-eventuale-taratura-su-n-3-sistemi-di-pesature-di-nostra-proprieta.html"</f>
        <v>https://portaletrasparenza.consorziobacchiglione.it/dettagli/attodigara/7076/intervento-tecnico-per-verifica-ed-eventuale-taratura-su-n-3-sistemi-di-pesature-di-nostra-proprieta.html</v>
      </c>
      <c r="U1129" t="str">
        <f>"https://portaletrasparenza.consorziobacchiglione.it/download/attodigara/7076/63ac45b7734a3.PDF"</f>
        <v>https://portaletrasparenza.consorziobacchiglione.it/download/attodigara/7076/63ac45b7734a3.PDF</v>
      </c>
      <c r="V11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30" spans="1:22" x14ac:dyDescent="0.3">
      <c r="A1130" t="str">
        <f>"Affidamento"</f>
        <v>Affidamento</v>
      </c>
      <c r="B1130" t="str">
        <f>"Riparazione e manutenzione mezzi con targa : AGK711, motobarca n. 1."</f>
        <v>Riparazione e manutenzione mezzi con targa : AGK711, motobarca n. 1.</v>
      </c>
      <c r="C1130" t="str">
        <f>"Z751BA16B0"</f>
        <v>Z751BA16B0</v>
      </c>
      <c r="D1130" t="str">
        <f>"04/11/2021"</f>
        <v>04/11/2021</v>
      </c>
      <c r="E1130" t="str">
        <f>""</f>
        <v/>
      </c>
      <c r="F1130" t="str">
        <f>""</f>
        <v/>
      </c>
      <c r="G1130" t="str">
        <f>"732.00"</f>
        <v>732.00</v>
      </c>
      <c r="H1130" t="str">
        <f>"Consorzio di bonifica Bacchiglione"</f>
        <v>Consorzio di bonifica Bacchiglione</v>
      </c>
      <c r="I1130" t="str">
        <f>"92223390284"</f>
        <v>92223390284</v>
      </c>
      <c r="J1130" t="str">
        <f>"23-AFFIDAMENTO DIRETTO"</f>
        <v>23-AFFIDAMENTO DIRETTO</v>
      </c>
      <c r="K1130" t="str">
        <f>"18/10/2021"</f>
        <v>18/10/2021</v>
      </c>
      <c r="L1130" t="str">
        <f>"05/01/2021"</f>
        <v>05/01/2021</v>
      </c>
      <c r="M1130" t="str">
        <f>""</f>
        <v/>
      </c>
      <c r="N1130" t="str">
        <f>"Officina Biesse S.n.c. Via Matteotti 24 35020 Arzergrande PD"</f>
        <v>Officina Biesse S.n.c. Via Matteotti 24 35020 Arzergrande PD</v>
      </c>
      <c r="O1130" t="str">
        <f>"Officina Biesse S.n.c. Via Matteotti 24 35020 Arzergrande PD"</f>
        <v>Officina Biesse S.n.c. Via Matteotti 24 35020 Arzergrande PD</v>
      </c>
      <c r="P1130" t="str">
        <f>"Z751BA16B0: [732.00€ ]"</f>
        <v>Z751BA16B0: [732.00€ ]</v>
      </c>
      <c r="Q1130" t="str">
        <f>""</f>
        <v/>
      </c>
      <c r="R1130" t="str">
        <f>""</f>
        <v/>
      </c>
      <c r="S1130" t="str">
        <f>""</f>
        <v/>
      </c>
      <c r="T1130" t="str">
        <f>"https://portaletrasparenza.consorziobacchiglione.it/dettagli/attodigara/832/riparazione-e-manutenzione-mezzi-con-targa-agk711-motobarca-n-1.html"</f>
        <v>https://portaletrasparenza.consorziobacchiglione.it/dettagli/attodigara/832/riparazione-e-manutenzione-mezzi-con-targa-agk711-motobarca-n-1.html</v>
      </c>
      <c r="U1130" t="str">
        <f>""</f>
        <v/>
      </c>
      <c r="V11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31" spans="1:22" x14ac:dyDescent="0.3">
      <c r="A1131" t="str">
        <f>"Affidamento"</f>
        <v>Affidamento</v>
      </c>
      <c r="B1131" t="str">
        <f>"ID 018-12 - NOVENTANA 2 - Fornitura di N.2 nuove carpenterie in acciaio inox per \'Paratoia Incile Noventana\' e per \' Sbarramento 1 Via Cucchetti\' - Processo ID 018-12."</f>
        <v>ID 018-12 - NOVENTANA 2 - Fornitura di N.2 nuove carpenterie in acciaio inox per \'Paratoia Incile Noventana\' e per \' Sbarramento 1 Via Cucchetti\' - Processo ID 018-12.</v>
      </c>
      <c r="C1131" t="str">
        <f>"Z8C338064A"</f>
        <v>Z8C338064A</v>
      </c>
      <c r="D1131" t="str">
        <f>"20/10/2021"</f>
        <v>20/10/2021</v>
      </c>
      <c r="E1131" t="str">
        <f>""</f>
        <v/>
      </c>
      <c r="F1131" t="str">
        <f>""</f>
        <v/>
      </c>
      <c r="G1131" t="str">
        <f>"4850.12"</f>
        <v>4850.12</v>
      </c>
      <c r="H1131" t="str">
        <f>"Consorzio di bonifica Bacchiglione"</f>
        <v>Consorzio di bonifica Bacchiglione</v>
      </c>
      <c r="I1131" t="str">
        <f>"92223390284"</f>
        <v>92223390284</v>
      </c>
      <c r="J1131" t="str">
        <f>"23-AFFIDAMENTO DIRETTO"</f>
        <v>23-AFFIDAMENTO DIRETTO</v>
      </c>
      <c r="K1131" t="str">
        <f>"18/10/2021"</f>
        <v>18/10/2021</v>
      </c>
      <c r="L1131" t="str">
        <f>"11/01/2022"</f>
        <v>11/01/2022</v>
      </c>
      <c r="M1131" t="str">
        <f>""</f>
        <v/>
      </c>
      <c r="N1131" t="str">
        <f>"Zanardo S.p.A."</f>
        <v>Zanardo S.p.A.</v>
      </c>
      <c r="O1131" t="str">
        <f>"Zanardo S.p.A."</f>
        <v>Zanardo S.p.A.</v>
      </c>
      <c r="P1131" t="s">
        <v>190</v>
      </c>
      <c r="Q1131" t="str">
        <f>""</f>
        <v/>
      </c>
      <c r="R1131" t="str">
        <f>""</f>
        <v/>
      </c>
      <c r="S1131" t="str">
        <f>""</f>
        <v/>
      </c>
      <c r="T1131" t="str">
        <f>"https://portaletrasparenza.consorziobacchiglione.it/dettagli/attodigara/7219/id-018-12-noventana-2-fornitura-di-n-2-nuove-carpenterie-in-acciaio-inox-per-paratoia-incile-noventana-e-per-sbarramento-1-via-cucchetti-processo-id-018-12.html"</f>
        <v>https://portaletrasparenza.consorziobacchiglione.it/dettagli/attodigara/7219/id-018-12-noventana-2-fornitura-di-n-2-nuove-carpenterie-in-acciaio-inox-per-paratoia-incile-noventana-e-per-sbarramento-1-via-cucchetti-processo-id-018-12.html</v>
      </c>
      <c r="U1131" t="str">
        <f>"https://portaletrasparenza.consorziobacchiglione.it/download/attodigara/7219/63ac45dc7fa5b.PDF"</f>
        <v>https://portaletrasparenza.consorziobacchiglione.it/download/attodigara/7219/63ac45dc7fa5b.PDF</v>
      </c>
      <c r="V11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32" spans="1:22" x14ac:dyDescent="0.3">
      <c r="A1132" t="str">
        <f>"Affidamento"</f>
        <v>Affidamento</v>
      </c>
      <c r="B1132" t="str">
        <f>"Fornitura ricambi vari per mezzi Consortili"</f>
        <v>Fornitura ricambi vari per mezzi Consortili</v>
      </c>
      <c r="C1132" t="str">
        <f>"Z5D3380854"</f>
        <v>Z5D3380854</v>
      </c>
      <c r="D1132" t="str">
        <f>"21/10/2021"</f>
        <v>21/10/2021</v>
      </c>
      <c r="E1132" t="str">
        <f>""</f>
        <v/>
      </c>
      <c r="F1132" t="str">
        <f>""</f>
        <v/>
      </c>
      <c r="G1132" t="str">
        <f>"351.08"</f>
        <v>351.08</v>
      </c>
      <c r="H1132" t="str">
        <f>"Consorzio di bonifica Bacchiglione"</f>
        <v>Consorzio di bonifica Bacchiglione</v>
      </c>
      <c r="I1132" t="str">
        <f>"92223390284"</f>
        <v>92223390284</v>
      </c>
      <c r="J1132" t="str">
        <f>"23-AFFIDAMENTO DIRETTO"</f>
        <v>23-AFFIDAMENTO DIRETTO</v>
      </c>
      <c r="K1132" t="str">
        <f>"18/10/2021"</f>
        <v>18/10/2021</v>
      </c>
      <c r="L1132" t="str">
        <f>"29/10/2021"</f>
        <v>29/10/2021</v>
      </c>
      <c r="M1132" t="str">
        <f>""</f>
        <v/>
      </c>
      <c r="N1132" t="str">
        <f>"Autoricambi s.n.c. di Mardegan Paolo e Manfron Veronica Via A.Valerio 26-28 Piove di Sacco PD"</f>
        <v>Autoricambi s.n.c. di Mardegan Paolo e Manfron Veronica Via A.Valerio 26-28 Piove di Sacco PD</v>
      </c>
      <c r="O1132" t="str">
        <f>"Autoricambi s.n.c. di Mardegan Paolo e Manfron Veronica Via A.Valerio 26-28 Piove di Sacco PD"</f>
        <v>Autoricambi s.n.c. di Mardegan Paolo e Manfron Veronica Via A.Valerio 26-28 Piove di Sacco PD</v>
      </c>
      <c r="P1132" t="s">
        <v>282</v>
      </c>
      <c r="Q1132" t="str">
        <f>""</f>
        <v/>
      </c>
      <c r="R1132" t="str">
        <f>""</f>
        <v/>
      </c>
      <c r="S1132" t="str">
        <f>""</f>
        <v/>
      </c>
      <c r="T1132" t="str">
        <f>"https://portaletrasparenza.consorziobacchiglione.it/dettagli/attodigara/7220/fornitura-ricambi-vari-per-mezzi-consortili.html"</f>
        <v>https://portaletrasparenza.consorziobacchiglione.it/dettagli/attodigara/7220/fornitura-ricambi-vari-per-mezzi-consortili.html</v>
      </c>
      <c r="U1132" t="str">
        <f>"https://portaletrasparenza.consorziobacchiglione.it/download/attodigara/7220/63ac45dcb887c.PDF"</f>
        <v>https://portaletrasparenza.consorziobacchiglione.it/download/attodigara/7220/63ac45dcb887c.PDF</v>
      </c>
      <c r="V11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33" spans="1:22" x14ac:dyDescent="0.3">
      <c r="A1133" t="str">
        <f>"Affidamento"</f>
        <v>Affidamento</v>
      </c>
      <c r="B1133" t="str">
        <f>"Fornitura n 4 bombole gas per pirodiserbo C.O.S.Margherita e materiale edile per Impianto Irriguo 3 Bacino"</f>
        <v>Fornitura n 4 bombole gas per pirodiserbo C.O.S.Margherita e materiale edile per Impianto Irriguo 3 Bacino</v>
      </c>
      <c r="C1133" t="str">
        <f>"Z7E1C18739"</f>
        <v>Z7E1C18739</v>
      </c>
      <c r="D1133" t="str">
        <f>"04/11/2021"</f>
        <v>04/11/2021</v>
      </c>
      <c r="E1133" t="str">
        <f>""</f>
        <v/>
      </c>
      <c r="F1133" t="str">
        <f>""</f>
        <v/>
      </c>
      <c r="G1133" t="str">
        <f>"161.52"</f>
        <v>161.52</v>
      </c>
      <c r="H1133" t="str">
        <f>"Consorzio di bonifica Bacchiglione"</f>
        <v>Consorzio di bonifica Bacchiglione</v>
      </c>
      <c r="I1133" t="str">
        <f>"92223390284"</f>
        <v>92223390284</v>
      </c>
      <c r="J1133" t="str">
        <f>"23-AFFIDAMENTO DIRETTO"</f>
        <v>23-AFFIDAMENTO DIRETTO</v>
      </c>
      <c r="K1133" t="str">
        <f>"18/11/2021"</f>
        <v>18/11/2021</v>
      </c>
      <c r="L1133" t="str">
        <f>"31/12/2021"</f>
        <v>31/12/2021</v>
      </c>
      <c r="M1133" t="str">
        <f>""</f>
        <v/>
      </c>
      <c r="N1133" t="str">
        <f>"Gollo Giovanni Via Vallona 65 35020 Conche di Codevigo PD"</f>
        <v>Gollo Giovanni Via Vallona 65 35020 Conche di Codevigo PD</v>
      </c>
      <c r="O1133" t="str">
        <f>"Gollo Giovanni Via Vallona 65 35020 Conche di Codevigo PD"</f>
        <v>Gollo Giovanni Via Vallona 65 35020 Conche di Codevigo PD</v>
      </c>
      <c r="P1133" t="s">
        <v>327</v>
      </c>
      <c r="Q1133" t="str">
        <f>""</f>
        <v/>
      </c>
      <c r="R1133" t="str">
        <f>""</f>
        <v/>
      </c>
      <c r="S1133" t="str">
        <f>""</f>
        <v/>
      </c>
      <c r="T1133" t="str">
        <f>"https://portaletrasparenza.consorziobacchiglione.it/dettagli/attodigara/925/fornitura-n-4-bombole-gas-per-pirodiserbo-c-o-s-margherita-e-materiale-edile-per-impianto-irriguo-3-bacino.html"</f>
        <v>https://portaletrasparenza.consorziobacchiglione.it/dettagli/attodigara/925/fornitura-n-4-bombole-gas-per-pirodiserbo-c-o-s-margherita-e-materiale-edile-per-impianto-irriguo-3-bacino.html</v>
      </c>
      <c r="U1133" t="str">
        <f>""</f>
        <v/>
      </c>
      <c r="V11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34" spans="1:22" x14ac:dyDescent="0.3">
      <c r="A1134" t="str">
        <f>"Affidamento"</f>
        <v>Affidamento</v>
      </c>
      <c r="B1134" t="str">
        <f>"Controllo semestrale gru su mezzo con targa: CT189YR"</f>
        <v>Controllo semestrale gru su mezzo con targa: CT189YR</v>
      </c>
      <c r="C1134" t="str">
        <f>"ZB61C18B88"</f>
        <v>ZB61C18B88</v>
      </c>
      <c r="D1134" t="str">
        <f>"04/11/2021"</f>
        <v>04/11/2021</v>
      </c>
      <c r="E1134" t="str">
        <f>""</f>
        <v/>
      </c>
      <c r="F1134" t="str">
        <f>""</f>
        <v/>
      </c>
      <c r="G1134" t="str">
        <f>"220.00"</f>
        <v>220.00</v>
      </c>
      <c r="H1134" t="str">
        <f>"Consorzio di bonifica Bacchiglione"</f>
        <v>Consorzio di bonifica Bacchiglione</v>
      </c>
      <c r="I1134" t="str">
        <f>"92223390284"</f>
        <v>92223390284</v>
      </c>
      <c r="J1134" t="str">
        <f>"23-AFFIDAMENTO DIRETTO"</f>
        <v>23-AFFIDAMENTO DIRETTO</v>
      </c>
      <c r="K1134" t="str">
        <f>"18/11/2021"</f>
        <v>18/11/2021</v>
      </c>
      <c r="L1134" t="str">
        <f>"20/12/2021"</f>
        <v>20/12/2021</v>
      </c>
      <c r="M1134" t="str">
        <f>""</f>
        <v/>
      </c>
      <c r="N1134" t="str">
        <f>"Moressa s.r.l. Via Cuccara 2 35020 Due Carrare PD"</f>
        <v>Moressa s.r.l. Via Cuccara 2 35020 Due Carrare PD</v>
      </c>
      <c r="O1134" t="str">
        <f>"Moressa s.r.l. Via Cuccara 2 35020 Due Carrare PD"</f>
        <v>Moressa s.r.l. Via Cuccara 2 35020 Due Carrare PD</v>
      </c>
      <c r="P1134" t="str">
        <f>"ZB61C18B88: [220.00€ ]"</f>
        <v>ZB61C18B88: [220.00€ ]</v>
      </c>
      <c r="Q1134" t="str">
        <f>""</f>
        <v/>
      </c>
      <c r="R1134" t="str">
        <f>""</f>
        <v/>
      </c>
      <c r="S1134" t="str">
        <f>""</f>
        <v/>
      </c>
      <c r="T1134" t="str">
        <f>"https://portaletrasparenza.consorziobacchiglione.it/dettagli/attodigara/927/controllo-semestrale-gru-su-mezzo-con-targa-ct189yr.html"</f>
        <v>https://portaletrasparenza.consorziobacchiglione.it/dettagli/attodigara/927/controllo-semestrale-gru-su-mezzo-con-targa-ct189yr.html</v>
      </c>
      <c r="U1134" t="str">
        <f>""</f>
        <v/>
      </c>
      <c r="V11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35" spans="1:22" x14ac:dyDescent="0.3">
      <c r="A1135" t="str">
        <f>"Affidamento"</f>
        <v>Affidamento</v>
      </c>
      <c r="B1135" t="str">
        <f>"Lavoro di smontaggio completo, pulizia generale, sabbiatura di tutti i componenti su elettrovalvola di disadescamento Mod. ED80 dell'impianto irriguo 3 Bacino."</f>
        <v>Lavoro di smontaggio completo, pulizia generale, sabbiatura di tutti i componenti su elettrovalvola di disadescamento Mod. ED80 dell'impianto irriguo 3 Bacino.</v>
      </c>
      <c r="C1135" t="str">
        <f>"ZC71C18A3B"</f>
        <v>ZC71C18A3B</v>
      </c>
      <c r="D1135" t="str">
        <f>"04/11/2021"</f>
        <v>04/11/2021</v>
      </c>
      <c r="E1135" t="str">
        <f>""</f>
        <v/>
      </c>
      <c r="F1135" t="str">
        <f>""</f>
        <v/>
      </c>
      <c r="G1135" t="str">
        <f>"475.00"</f>
        <v>475.00</v>
      </c>
      <c r="H1135" t="str">
        <f>"Consorzio di bonifica Bacchiglione"</f>
        <v>Consorzio di bonifica Bacchiglione</v>
      </c>
      <c r="I1135" t="str">
        <f>"92223390284"</f>
        <v>92223390284</v>
      </c>
      <c r="J1135" t="str">
        <f>"23-AFFIDAMENTO DIRETTO"</f>
        <v>23-AFFIDAMENTO DIRETTO</v>
      </c>
      <c r="K1135" t="str">
        <f>"18/11/2021"</f>
        <v>18/11/2021</v>
      </c>
      <c r="L1135" t="str">
        <f>"31/01/2021"</f>
        <v>31/01/2021</v>
      </c>
      <c r="M1135" t="str">
        <f>""</f>
        <v/>
      </c>
      <c r="N1135" t="str">
        <f>"Scarpa Sergio Elettromeccanica S.n.c. di Scarpa Paola E C. Via A. Vivaldi 7 35028 Piove di Sacco PD"</f>
        <v>Scarpa Sergio Elettromeccanica S.n.c. di Scarpa Paola E C. Via A. Vivaldi 7 35028 Piove di Sacco PD</v>
      </c>
      <c r="O1135" t="str">
        <f>"Scarpa Sergio Elettromeccanica S.n.c. di Scarpa Paola E C. Via A. Vivaldi 7 35028 Piove di Sacco PD"</f>
        <v>Scarpa Sergio Elettromeccanica S.n.c. di Scarpa Paola E C. Via A. Vivaldi 7 35028 Piove di Sacco PD</v>
      </c>
      <c r="P1135" t="str">
        <f>"ZC71C18A3B: [475.00€ ]"</f>
        <v>ZC71C18A3B: [475.00€ ]</v>
      </c>
      <c r="Q1135" t="str">
        <f>""</f>
        <v/>
      </c>
      <c r="R1135" t="str">
        <f>""</f>
        <v/>
      </c>
      <c r="S1135" t="str">
        <f>""</f>
        <v/>
      </c>
      <c r="T1135" t="str">
        <f>"https://portaletrasparenza.consorziobacchiglione.it/dettagli/attodigara/926/lavoro-di-smontaggio-completo-pulizia-generale-sabbiatura-di-tutti-i-componenti-su-elettrovalvola-di-disadescamento-mod-ed80-dell-impianto-irriguo-3-bacino.html"</f>
        <v>https://portaletrasparenza.consorziobacchiglione.it/dettagli/attodigara/926/lavoro-di-smontaggio-completo-pulizia-generale-sabbiatura-di-tutti-i-componenti-su-elettrovalvola-di-disadescamento-mod-ed80-dell-impianto-irriguo-3-bacino.html</v>
      </c>
      <c r="U1135" t="str">
        <f>""</f>
        <v/>
      </c>
      <c r="V11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36" spans="1:22" x14ac:dyDescent="0.3">
      <c r="A1136" t="str">
        <f>"Affidamento"</f>
        <v>Affidamento</v>
      </c>
      <c r="B1136" t="str">
        <f>"Corso di aggiornamento formazione R.L.S."</f>
        <v>Corso di aggiornamento formazione R.L.S.</v>
      </c>
      <c r="C1136" t="str">
        <f>"Z361C17BA9"</f>
        <v>Z361C17BA9</v>
      </c>
      <c r="D1136" t="str">
        <f>"04/11/2021"</f>
        <v>04/11/2021</v>
      </c>
      <c r="E1136" t="str">
        <f>""</f>
        <v/>
      </c>
      <c r="F1136" t="str">
        <f>""</f>
        <v/>
      </c>
      <c r="G1136" t="str">
        <f>"70.00"</f>
        <v>70.00</v>
      </c>
      <c r="H1136" t="str">
        <f>"Consorzio di bonifica Bacchiglione"</f>
        <v>Consorzio di bonifica Bacchiglione</v>
      </c>
      <c r="I1136" t="str">
        <f>"92223390284"</f>
        <v>92223390284</v>
      </c>
      <c r="J1136" t="str">
        <f>"23-AFFIDAMENTO DIRETTO"</f>
        <v>23-AFFIDAMENTO DIRETTO</v>
      </c>
      <c r="K1136" t="str">
        <f>"18/11/2021"</f>
        <v>18/11/2021</v>
      </c>
      <c r="L1136" t="str">
        <f>"04/01/2021"</f>
        <v>04/01/2021</v>
      </c>
      <c r="M1136" t="str">
        <f>""</f>
        <v/>
      </c>
      <c r="N1136" t="str">
        <f>"Scuola Edile Padova Via Basilicata 10 35127 (Camin) Padova"</f>
        <v>Scuola Edile Padova Via Basilicata 10 35127 (Camin) Padova</v>
      </c>
      <c r="O1136" t="str">
        <f>"Scuola Edile Padova Via Basilicata 10 35127 (Camin) Padova"</f>
        <v>Scuola Edile Padova Via Basilicata 10 35127 (Camin) Padova</v>
      </c>
      <c r="P1136" t="str">
        <f>"Z361C17BA9: [70.00€ ]"</f>
        <v>Z361C17BA9: [70.00€ ]</v>
      </c>
      <c r="Q1136" t="str">
        <f>""</f>
        <v/>
      </c>
      <c r="R1136" t="str">
        <f>""</f>
        <v/>
      </c>
      <c r="S1136" t="str">
        <f>""</f>
        <v/>
      </c>
      <c r="T1136" t="str">
        <f>"https://portaletrasparenza.consorziobacchiglione.it/dettagli/attodigara/924/corso-di-aggiornamento-formazione-r-l-s.html"</f>
        <v>https://portaletrasparenza.consorziobacchiglione.it/dettagli/attodigara/924/corso-di-aggiornamento-formazione-r-l-s.html</v>
      </c>
      <c r="U1136" t="str">
        <f>""</f>
        <v/>
      </c>
      <c r="V11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37" spans="1:22" x14ac:dyDescent="0.3">
      <c r="A1137" t="str">
        <f>"Affidamento"</f>
        <v>Affidamento</v>
      </c>
      <c r="B1137" t="str">
        <f>"Fornitura grasso per mezzi Consorziali."</f>
        <v>Fornitura grasso per mezzi Consorziali.</v>
      </c>
      <c r="C1137" t="str">
        <f>"ZD01C18F99"</f>
        <v>ZD01C18F99</v>
      </c>
      <c r="D1137" t="str">
        <f>"04/11/2021"</f>
        <v>04/11/2021</v>
      </c>
      <c r="E1137" t="str">
        <f>""</f>
        <v/>
      </c>
      <c r="F1137" t="str">
        <f>""</f>
        <v/>
      </c>
      <c r="G1137" t="str">
        <f>"1343.23"</f>
        <v>1343.23</v>
      </c>
      <c r="H1137" t="str">
        <f>"Consorzio di bonifica Bacchiglione"</f>
        <v>Consorzio di bonifica Bacchiglione</v>
      </c>
      <c r="I1137" t="str">
        <f>"92223390284"</f>
        <v>92223390284</v>
      </c>
      <c r="J1137" t="str">
        <f>"23-AFFIDAMENTO DIRETTO"</f>
        <v>23-AFFIDAMENTO DIRETTO</v>
      </c>
      <c r="K1137" t="str">
        <f>"18/11/2021"</f>
        <v>18/11/2021</v>
      </c>
      <c r="L1137" t="str">
        <f>"27/12/2021"</f>
        <v>27/12/2021</v>
      </c>
      <c r="M1137" t="str">
        <f>""</f>
        <v/>
      </c>
      <c r="N1137" t="str">
        <f>"Centro Lubrificanti Via Oderzo 48 31040 Mansuè TV"</f>
        <v>Centro Lubrificanti Via Oderzo 48 31040 Mansuè TV</v>
      </c>
      <c r="O1137" t="str">
        <f>"Centro Lubrificanti Via Oderzo 48 31040 Mansuè TV"</f>
        <v>Centro Lubrificanti Via Oderzo 48 31040 Mansuè TV</v>
      </c>
      <c r="P1137" t="str">
        <f>"ZD01C18F99: [1321.92€ ]"</f>
        <v>ZD01C18F99: [1321.92€ ]</v>
      </c>
      <c r="Q1137" t="str">
        <f>""</f>
        <v/>
      </c>
      <c r="R1137" t="str">
        <f>""</f>
        <v/>
      </c>
      <c r="S1137" t="str">
        <f>""</f>
        <v/>
      </c>
      <c r="T1137" t="str">
        <f>"https://portaletrasparenza.consorziobacchiglione.it/dettagli/attodigara/928/fornitura-grasso-per-mezzi-consorziali.html"</f>
        <v>https://portaletrasparenza.consorziobacchiglione.it/dettagli/attodigara/928/fornitura-grasso-per-mezzi-consorziali.html</v>
      </c>
      <c r="U1137" t="str">
        <f>""</f>
        <v/>
      </c>
      <c r="V1137">
        <f>(SUBSTITUTE(Tabella1[[#This Row],[Importo di aggiudicazione]],".",","))-(SUBSTITUTE(  SUBSTITUTE(          SUBSTITUTE(Tabella1[[#This Row],[Dettaglio somme liquidate]],Tabella1[[#This Row],[CIG]]&amp;": [",""),"€ ]",""),".",","))</f>
        <v>21.309999999999945</v>
      </c>
    </row>
    <row r="1138" spans="1:22" x14ac:dyDescent="0.3">
      <c r="A1138" t="str">
        <f>"Affidamento"</f>
        <v>Affidamento</v>
      </c>
      <c r="B1138" t="str">
        <f>"ID018-15 LAVORI DI COMPLETAMENTO DELL IMPIANTO IDROVORO ALTIPIANO - Verifica del Progetto Esecutivo ai fini della validazione del RUP - Processo ID 018-15."</f>
        <v>ID018-15 LAVORI DI COMPLETAMENTO DELL IMPIANTO IDROVORO ALTIPIANO - Verifica del Progetto Esecutivo ai fini della validazione del RUP - Processo ID 018-15.</v>
      </c>
      <c r="C1138" t="str">
        <f>"ZCD33F7831"</f>
        <v>ZCD33F7831</v>
      </c>
      <c r="D1138" t="str">
        <f>"18/11/2021"</f>
        <v>18/11/2021</v>
      </c>
      <c r="E1138" t="str">
        <f>""</f>
        <v/>
      </c>
      <c r="F1138" t="str">
        <f>""</f>
        <v/>
      </c>
      <c r="G1138" t="str">
        <f>"3016.00"</f>
        <v>3016.00</v>
      </c>
      <c r="H1138" t="str">
        <f>"Consorzio di bonifica Bacchiglione"</f>
        <v>Consorzio di bonifica Bacchiglione</v>
      </c>
      <c r="I1138" t="str">
        <f>"92223390284"</f>
        <v>92223390284</v>
      </c>
      <c r="J1138" t="str">
        <f>"23-AFFIDAMENTO DIRETTO"</f>
        <v>23-AFFIDAMENTO DIRETTO</v>
      </c>
      <c r="K1138" t="str">
        <f>"18/11/2021"</f>
        <v>18/11/2021</v>
      </c>
      <c r="L1138" t="str">
        <f>"11/12/2021"</f>
        <v>11/12/2021</v>
      </c>
      <c r="M1138" t="str">
        <f>""</f>
        <v/>
      </c>
      <c r="N1138" t="str">
        <f>"Ing. FABIO MURARO"</f>
        <v>Ing. FABIO MURARO</v>
      </c>
      <c r="O1138" t="str">
        <f>"Ing. FABIO MURARO"</f>
        <v>Ing. FABIO MURARO</v>
      </c>
      <c r="P1138" t="s">
        <v>204</v>
      </c>
      <c r="Q1138" t="str">
        <f>""</f>
        <v/>
      </c>
      <c r="R1138" t="str">
        <f>""</f>
        <v/>
      </c>
      <c r="S1138" t="str">
        <f>""</f>
        <v/>
      </c>
      <c r="T1138" t="str">
        <f>"https://portaletrasparenza.consorziobacchiglione.it/dettagli/attodigara/7291/id018-15-lavori-di-completamento-dell-impianto-idrovoro-altipiano-verifica-del-progetto-esecutivo-ai-fini-della-validazione-del-rup-processo-id-018-15.html"</f>
        <v>https://portaletrasparenza.consorziobacchiglione.it/dettagli/attodigara/7291/id018-15-lavori-di-completamento-dell-impianto-idrovoro-altipiano-verifica-del-progetto-esecutivo-ai-fini-della-validazione-del-rup-processo-id-018-15.html</v>
      </c>
      <c r="U1138" t="str">
        <f>"https://portaletrasparenza.consorziobacchiglione.it/download/attodigara/7291/63ac45ec0bba5.PDF"</f>
        <v>https://portaletrasparenza.consorziobacchiglione.it/download/attodigara/7291/63ac45ec0bba5.PDF</v>
      </c>
      <c r="V113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39" spans="1:22" x14ac:dyDescent="0.3">
      <c r="A1139" t="str">
        <f>"Affidamento"</f>
        <v>Affidamento</v>
      </c>
      <c r="B1139" t="str">
        <f>"Noleggio escavatore cingolato Case CX210D con braccio extra lungo per lavori presso scolo Pioga"</f>
        <v>Noleggio escavatore cingolato Case CX210D con braccio extra lungo per lavori presso scolo Pioga</v>
      </c>
      <c r="C1139" t="str">
        <f>"Z7533F7AF2"</f>
        <v>Z7533F7AF2</v>
      </c>
      <c r="D1139" t="str">
        <f>"18/11/2021"</f>
        <v>18/11/2021</v>
      </c>
      <c r="E1139" t="str">
        <f>""</f>
        <v/>
      </c>
      <c r="F1139" t="str">
        <f>""</f>
        <v/>
      </c>
      <c r="G1139" t="str">
        <f>"7300.00"</f>
        <v>7300.00</v>
      </c>
      <c r="H1139" t="str">
        <f>"Consorzio di bonifica Bacchiglione"</f>
        <v>Consorzio di bonifica Bacchiglione</v>
      </c>
      <c r="I1139" t="str">
        <f>"92223390284"</f>
        <v>92223390284</v>
      </c>
      <c r="J1139" t="str">
        <f>"23-AFFIDAMENTO DIRETTO"</f>
        <v>23-AFFIDAMENTO DIRETTO</v>
      </c>
      <c r="K1139" t="str">
        <f>"18/11/2021"</f>
        <v>18/11/2021</v>
      </c>
      <c r="L1139" t="str">
        <f>"23/11/2021"</f>
        <v>23/11/2021</v>
      </c>
      <c r="M1139" t="str">
        <f>""</f>
        <v/>
      </c>
      <c r="N1139" t="str">
        <f>"Sorme s.n.c. Via Monache 21 35030 Selvazzano Dentro PD"</f>
        <v>Sorme s.n.c. Via Monache 21 35030 Selvazzano Dentro PD</v>
      </c>
      <c r="O1139" t="str">
        <f>"Sorme s.n.c. Via Monache 21 35030 Selvazzano Dentro PD"</f>
        <v>Sorme s.n.c. Via Monache 21 35030 Selvazzano Dentro PD</v>
      </c>
      <c r="P1139" t="str">
        <f>"Z7533F7AF2: [7300.00€ ]"</f>
        <v>Z7533F7AF2: [7300.00€ ]</v>
      </c>
      <c r="Q1139" t="str">
        <f>""</f>
        <v/>
      </c>
      <c r="R1139" t="str">
        <f>""</f>
        <v/>
      </c>
      <c r="S1139" t="str">
        <f>""</f>
        <v/>
      </c>
      <c r="T1139" t="str">
        <f>"https://portaletrasparenza.consorziobacchiglione.it/dettagli/attodigara/7292/noleggio-escavatore-cingolato-case-cx210d-con-braccio-extra-lungo-per-lavori-presso-scolo-pioga.html"</f>
        <v>https://portaletrasparenza.consorziobacchiglione.it/dettagli/attodigara/7292/noleggio-escavatore-cingolato-case-cx210d-con-braccio-extra-lungo-per-lavori-presso-scolo-pioga.html</v>
      </c>
      <c r="U1139" t="str">
        <f>"https://portaletrasparenza.consorziobacchiglione.it/download/attodigara/7292/63ac45ebc6f70.PDF"</f>
        <v>https://portaletrasparenza.consorziobacchiglione.it/download/attodigara/7292/63ac45ebc6f70.PDF</v>
      </c>
      <c r="V11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40" spans="1:22" x14ac:dyDescent="0.3">
      <c r="A1140" t="str">
        <f>"Affidamento"</f>
        <v>Affidamento</v>
      </c>
      <c r="B1140" t="str">
        <f>"Fornitura n.2 inverter serie ATV600 presso Impianto di sollevamento di Via Magenta in comune di Ponte S.Nicolò"</f>
        <v>Fornitura n.2 inverter serie ATV600 presso Impianto di sollevamento di Via Magenta in comune di Ponte S.Nicolò</v>
      </c>
      <c r="C1140" t="str">
        <f>"Z3334039FF"</f>
        <v>Z3334039FF</v>
      </c>
      <c r="D1140" t="str">
        <f>"23/11/2021"</f>
        <v>23/11/2021</v>
      </c>
      <c r="E1140" t="str">
        <f>""</f>
        <v/>
      </c>
      <c r="F1140" t="str">
        <f>""</f>
        <v/>
      </c>
      <c r="G1140" t="str">
        <f>"1093.20"</f>
        <v>1093.20</v>
      </c>
      <c r="H1140" t="str">
        <f>"Consorzio di bonifica Bacchiglione"</f>
        <v>Consorzio di bonifica Bacchiglione</v>
      </c>
      <c r="I1140" t="str">
        <f>"92223390284"</f>
        <v>92223390284</v>
      </c>
      <c r="J1140" t="str">
        <f>"23-AFFIDAMENTO DIRETTO"</f>
        <v>23-AFFIDAMENTO DIRETTO</v>
      </c>
      <c r="K1140" t="str">
        <f>"18/11/2021"</f>
        <v>18/11/2021</v>
      </c>
      <c r="L1140" t="str">
        <f>"25/01/2022"</f>
        <v>25/01/2022</v>
      </c>
      <c r="M1140" t="str">
        <f>""</f>
        <v/>
      </c>
      <c r="N1140" t="str">
        <f>"SCHNEIDER ELECTRIC S.P.A. Via Circonvallazione Est, 1 - 24040 Stezzano (BG)"</f>
        <v>SCHNEIDER ELECTRIC S.P.A. Via Circonvallazione Est, 1 - 24040 Stezzano (BG)</v>
      </c>
      <c r="O1140" t="str">
        <f>"SCHNEIDER ELECTRIC S.P.A. Via Circonvallazione Est, 1 - 24040 Stezzano (BG)"</f>
        <v>SCHNEIDER ELECTRIC S.P.A. Via Circonvallazione Est, 1 - 24040 Stezzano (BG)</v>
      </c>
      <c r="P1140" t="str">
        <f>"Z3334039FF: [1093.20€ ]"</f>
        <v>Z3334039FF: [1093.20€ ]</v>
      </c>
      <c r="Q1140" t="str">
        <f>""</f>
        <v/>
      </c>
      <c r="R1140" t="str">
        <f>""</f>
        <v/>
      </c>
      <c r="S1140" t="str">
        <f>""</f>
        <v/>
      </c>
      <c r="T1140" t="str">
        <f>"https://portaletrasparenza.consorziobacchiglione.it/dettagli/attodigara/7293/fornitura-n-2-inverter-serie-atv600-presso-impianto-di-sollevamento-di-via-magenta-in-comune-di-ponte-s-nicolo.html"</f>
        <v>https://portaletrasparenza.consorziobacchiglione.it/dettagli/attodigara/7293/fornitura-n-2-inverter-serie-atv600-presso-impianto-di-sollevamento-di-via-magenta-in-comune-di-ponte-s-nicolo.html</v>
      </c>
      <c r="U1140" t="str">
        <f>"https://portaletrasparenza.consorziobacchiglione.it/download/attodigara/7293/63ac45ec44828.PDF"</f>
        <v>https://portaletrasparenza.consorziobacchiglione.it/download/attodigara/7293/63ac45ec44828.PDF</v>
      </c>
      <c r="V11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41" spans="1:22" x14ac:dyDescent="0.3">
      <c r="A1141" t="str">
        <f>"Affidamento"</f>
        <v>Affidamento</v>
      </c>
      <c r="B1141" t="str">
        <f>"Fornitura materiale di cancelleria."</f>
        <v>Fornitura materiale di cancelleria.</v>
      </c>
      <c r="C1141" t="str">
        <f>"Z561856EB1"</f>
        <v>Z561856EB1</v>
      </c>
      <c r="D1141" t="str">
        <f>"04/11/2021"</f>
        <v>04/11/2021</v>
      </c>
      <c r="E1141" t="str">
        <f>""</f>
        <v/>
      </c>
      <c r="F1141" t="str">
        <f>""</f>
        <v/>
      </c>
      <c r="G1141" t="str">
        <f>"5737.70"</f>
        <v>5737.70</v>
      </c>
      <c r="H1141" t="str">
        <f>"Consorzio di bonifica Bacchiglione"</f>
        <v>Consorzio di bonifica Bacchiglione</v>
      </c>
      <c r="I1141" t="str">
        <f>"92223390284"</f>
        <v>92223390284</v>
      </c>
      <c r="J1141" t="str">
        <f>"23-AFFIDAMENTO DIRETTO"</f>
        <v>23-AFFIDAMENTO DIRETTO</v>
      </c>
      <c r="K1141" t="str">
        <f>"19/01/2021"</f>
        <v>19/01/2021</v>
      </c>
      <c r="L1141" t="str">
        <f>"31/12/2021"</f>
        <v>31/12/2021</v>
      </c>
      <c r="M1141" t="str">
        <f>""</f>
        <v/>
      </c>
      <c r="N1141" t="str">
        <f>"MYO S.R.L. UNIPERSONALE"</f>
        <v>MYO S.R.L. UNIPERSONALE</v>
      </c>
      <c r="O1141" t="str">
        <f>"MYO S.R.L. UNIPERSONALE"</f>
        <v>MYO S.R.L. UNIPERSONALE</v>
      </c>
      <c r="P1141" t="s">
        <v>242</v>
      </c>
      <c r="Q1141" t="str">
        <f>""</f>
        <v/>
      </c>
      <c r="R1141" t="str">
        <f>""</f>
        <v/>
      </c>
      <c r="S1141" t="str">
        <f>""</f>
        <v/>
      </c>
      <c r="T1141" t="str">
        <f>"https://portaletrasparenza.consorziobacchiglione.it/dettagli/attodigara/80/fornitura-materiale-di-cancelleria.html"</f>
        <v>https://portaletrasparenza.consorziobacchiglione.it/dettagli/attodigara/80/fornitura-materiale-di-cancelleria.html</v>
      </c>
      <c r="U1141" t="str">
        <f>""</f>
        <v/>
      </c>
      <c r="V114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42" spans="1:22" x14ac:dyDescent="0.3">
      <c r="A1142" t="str">
        <f>"Affidamento"</f>
        <v>Affidamento</v>
      </c>
      <c r="B1142" t="str">
        <f>"Fornitura paletti e tavole in legno lavorate con maschio e femmina per bacino Pratiarcati."</f>
        <v>Fornitura paletti e tavole in legno lavorate con maschio e femmina per bacino Pratiarcati.</v>
      </c>
      <c r="C1142" t="str">
        <f>"ZE71813CF1"</f>
        <v>ZE71813CF1</v>
      </c>
      <c r="D1142" t="str">
        <f>"04/11/2021"</f>
        <v>04/11/2021</v>
      </c>
      <c r="E1142" t="str">
        <f>""</f>
        <v/>
      </c>
      <c r="F1142" t="str">
        <f>""</f>
        <v/>
      </c>
      <c r="G1142" t="str">
        <f>"1140.00"</f>
        <v>1140.00</v>
      </c>
      <c r="H1142" t="str">
        <f>"Consorzio di bonifica Bacchiglione"</f>
        <v>Consorzio di bonifica Bacchiglione</v>
      </c>
      <c r="I1142" t="str">
        <f>"92223390284"</f>
        <v>92223390284</v>
      </c>
      <c r="J1142" t="str">
        <f>"23-AFFIDAMENTO DIRETTO"</f>
        <v>23-AFFIDAMENTO DIRETTO</v>
      </c>
      <c r="K1142" t="str">
        <f>"19/01/2021"</f>
        <v>19/01/2021</v>
      </c>
      <c r="L1142" t="str">
        <f>"03/02/2021"</f>
        <v>03/02/2021</v>
      </c>
      <c r="M1142" t="str">
        <f>""</f>
        <v/>
      </c>
      <c r="N1142" t="str">
        <f>"Falegnameria Ossari s.n.c. Via degli Artigiani, 4 - 35025 Cartura (PD)"</f>
        <v>Falegnameria Ossari s.n.c. Via degli Artigiani, 4 - 35025 Cartura (PD)</v>
      </c>
      <c r="O1142" t="str">
        <f>"Falegnameria Ossari s.n.c. Via degli Artigiani, 4 - 35025 Cartura (PD)"</f>
        <v>Falegnameria Ossari s.n.c. Via degli Artigiani, 4 - 35025 Cartura (PD)</v>
      </c>
      <c r="P1142" t="str">
        <f>"ZE71813CF1: [1140.00€ ]"</f>
        <v>ZE71813CF1: [1140.00€ ]</v>
      </c>
      <c r="Q1142" t="str">
        <f>""</f>
        <v/>
      </c>
      <c r="R1142" t="str">
        <f>""</f>
        <v/>
      </c>
      <c r="S1142" t="str">
        <f>""</f>
        <v/>
      </c>
      <c r="T1142" t="str">
        <f>"https://portaletrasparenza.consorziobacchiglione.it/dettagli/attodigara/79/fornitura-paletti-e-tavole-in-legno-lavorate-con-maschio-e-femmina-per-bacino-pratiarcati.html"</f>
        <v>https://portaletrasparenza.consorziobacchiglione.it/dettagli/attodigara/79/fornitura-paletti-e-tavole-in-legno-lavorate-con-maschio-e-femmina-per-bacino-pratiarcati.html</v>
      </c>
      <c r="U1142" t="str">
        <f>""</f>
        <v/>
      </c>
      <c r="V11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43" spans="1:22" x14ac:dyDescent="0.3">
      <c r="A1143" t="str">
        <f>"Affidamento"</f>
        <v>Affidamento</v>
      </c>
      <c r="B1143" t="str">
        <f>"Fornitura n 2 sensori FMU41 per Isola di Bovolenta e un sensore FMU43 per Idrovora Ponte di Riva."</f>
        <v>Fornitura n 2 sensori FMU41 per Isola di Bovolenta e un sensore FMU43 per Idrovora Ponte di Riva.</v>
      </c>
      <c r="C1143" t="str">
        <f>"ZD21813C2F"</f>
        <v>ZD21813C2F</v>
      </c>
      <c r="D1143" t="str">
        <f>"04/11/2021"</f>
        <v>04/11/2021</v>
      </c>
      <c r="E1143" t="str">
        <f>""</f>
        <v/>
      </c>
      <c r="F1143" t="str">
        <f>""</f>
        <v/>
      </c>
      <c r="G1143" t="str">
        <f>"1657.00"</f>
        <v>1657.00</v>
      </c>
      <c r="H1143" t="str">
        <f>"Consorzio di bonifica Bacchiglione"</f>
        <v>Consorzio di bonifica Bacchiglione</v>
      </c>
      <c r="I1143" t="str">
        <f>"92223390284"</f>
        <v>92223390284</v>
      </c>
      <c r="J1143" t="str">
        <f>"23-AFFIDAMENTO DIRETTO"</f>
        <v>23-AFFIDAMENTO DIRETTO</v>
      </c>
      <c r="K1143" t="str">
        <f>"19/01/2021"</f>
        <v>19/01/2021</v>
      </c>
      <c r="L1143" t="str">
        <f>"22/02/2021"</f>
        <v>22/02/2021</v>
      </c>
      <c r="M1143" t="str">
        <f>""</f>
        <v/>
      </c>
      <c r="N1143" t="str">
        <f>"Endress + Hauser Italia S.p.A. Via Fratelli di Dio 7 20063 Cernusco S-N MI"</f>
        <v>Endress + Hauser Italia S.p.A. Via Fratelli di Dio 7 20063 Cernusco S-N MI</v>
      </c>
      <c r="O1143" t="str">
        <f>"Endress + Hauser Italia S.p.A. Via Fratelli di Dio 7 20063 Cernusco S-N MI"</f>
        <v>Endress + Hauser Italia S.p.A. Via Fratelli di Dio 7 20063 Cernusco S-N MI</v>
      </c>
      <c r="P1143" t="str">
        <f>"ZD21813C2F: [1657.00€ ]"</f>
        <v>ZD21813C2F: [1657.00€ ]</v>
      </c>
      <c r="Q1143" t="str">
        <f>""</f>
        <v/>
      </c>
      <c r="R1143" t="str">
        <f>""</f>
        <v/>
      </c>
      <c r="S1143" t="str">
        <f>""</f>
        <v/>
      </c>
      <c r="T1143" t="str">
        <f>"https://portaletrasparenza.consorziobacchiglione.it/dettagli/attodigara/78/fornitura-n-2-sensori-fmu41-per-isola-di-bovolenta-e-un-sensore-fmu43-per-idrovora-ponte-di-riva.html"</f>
        <v>https://portaletrasparenza.consorziobacchiglione.it/dettagli/attodigara/78/fornitura-n-2-sensori-fmu41-per-isola-di-bovolenta-e-un-sensore-fmu43-per-idrovora-ponte-di-riva.html</v>
      </c>
      <c r="U1143" t="str">
        <f>""</f>
        <v/>
      </c>
      <c r="V114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44" spans="1:22" x14ac:dyDescent="0.3">
      <c r="A1144" t="str">
        <f>"Affidamento"</f>
        <v>Affidamento</v>
      </c>
      <c r="B1144" t="str">
        <f>"Fornitura Tag adesivi per la rilevazione presenze del personale esterno"</f>
        <v>Fornitura Tag adesivi per la rilevazione presenze del personale esterno</v>
      </c>
      <c r="C1144" t="str">
        <f>"ZA8303E1E4"</f>
        <v>ZA8303E1E4</v>
      </c>
      <c r="D1144" t="str">
        <f>"19/01/2021"</f>
        <v>19/01/2021</v>
      </c>
      <c r="E1144" t="str">
        <f>""</f>
        <v/>
      </c>
      <c r="F1144" t="str">
        <f>""</f>
        <v/>
      </c>
      <c r="G1144" t="str">
        <f>"36.50"</f>
        <v>36.50</v>
      </c>
      <c r="H1144" t="str">
        <f>"Consorzio di bonifica Bacchiglione"</f>
        <v>Consorzio di bonifica Bacchiglione</v>
      </c>
      <c r="I1144" t="str">
        <f>"92223390284"</f>
        <v>92223390284</v>
      </c>
      <c r="J1144" t="str">
        <f>"23-AFFIDAMENTO DIRETTO"</f>
        <v>23-AFFIDAMENTO DIRETTO</v>
      </c>
      <c r="K1144" t="str">
        <f>"19/01/2021"</f>
        <v>19/01/2021</v>
      </c>
      <c r="L1144" t="str">
        <f>"29/01/2021"</f>
        <v>29/01/2021</v>
      </c>
      <c r="M1144" t="str">
        <f>""</f>
        <v/>
      </c>
      <c r="N1144" t="str">
        <f>"Hunext via A. Volta, 23 - 31030 Casier (TV)"</f>
        <v>Hunext via A. Volta, 23 - 31030 Casier (TV)</v>
      </c>
      <c r="O1144" t="str">
        <f>"Hunext via A. Volta, 23 - 31030 Casier (TV)"</f>
        <v>Hunext via A. Volta, 23 - 31030 Casier (TV)</v>
      </c>
      <c r="P1144" t="str">
        <f>"ZA8303E1E4: [32.50€ ]"</f>
        <v>ZA8303E1E4: [32.50€ ]</v>
      </c>
      <c r="Q1144" t="str">
        <f>""</f>
        <v/>
      </c>
      <c r="R1144" t="str">
        <f>""</f>
        <v/>
      </c>
      <c r="S1144" t="str">
        <f>""</f>
        <v/>
      </c>
      <c r="T1144" t="str">
        <f>"https://portaletrasparenza.consorziobacchiglione.it/dettagli/attodigara/6561/fornitura-tag-adesivi-per-la-rilevazione-presenze-del-personale-esterno.html"</f>
        <v>https://portaletrasparenza.consorziobacchiglione.it/dettagli/attodigara/6561/fornitura-tag-adesivi-per-la-rilevazione-presenze-del-personale-esterno.html</v>
      </c>
      <c r="U1144" t="str">
        <f>"https://portaletrasparenza.consorziobacchiglione.it/download/attodigara/6561/63ac454bf2c90.PDF"</f>
        <v>https://portaletrasparenza.consorziobacchiglione.it/download/attodigara/6561/63ac454bf2c90.PDF</v>
      </c>
      <c r="V1144">
        <f>(SUBSTITUTE(Tabella1[[#This Row],[Importo di aggiudicazione]],".",","))-(SUBSTITUTE(  SUBSTITUTE(          SUBSTITUTE(Tabella1[[#This Row],[Dettaglio somme liquidate]],Tabella1[[#This Row],[CIG]]&amp;": [",""),"€ ]",""),".",","))</f>
        <v>4</v>
      </c>
    </row>
    <row r="1145" spans="1:22" x14ac:dyDescent="0.3">
      <c r="A1145" t="str">
        <f>"Affidamento"</f>
        <v>Affidamento</v>
      </c>
      <c r="B1145" t="str">
        <f>"Fornitura e installazione nuovo cancello presso Argine SX in Via Catajo Montegrotto Terme"</f>
        <v>Fornitura e installazione nuovo cancello presso Argine SX in Via Catajo Montegrotto Terme</v>
      </c>
      <c r="C1145" t="str">
        <f>"Z0C30479FA"</f>
        <v>Z0C30479FA</v>
      </c>
      <c r="D1145" t="str">
        <f>"21/01/2021"</f>
        <v>21/01/2021</v>
      </c>
      <c r="E1145" t="str">
        <f>""</f>
        <v/>
      </c>
      <c r="F1145" t="str">
        <f>""</f>
        <v/>
      </c>
      <c r="G1145" t="str">
        <f>"6900.00"</f>
        <v>6900.00</v>
      </c>
      <c r="H1145" t="str">
        <f>"Consorzio di bonifica Bacchiglione"</f>
        <v>Consorzio di bonifica Bacchiglione</v>
      </c>
      <c r="I1145" t="str">
        <f>"92223390284"</f>
        <v>92223390284</v>
      </c>
      <c r="J1145" t="str">
        <f>"23-AFFIDAMENTO DIRETTO"</f>
        <v>23-AFFIDAMENTO DIRETTO</v>
      </c>
      <c r="K1145" t="str">
        <f>"19/01/2021"</f>
        <v>19/01/2021</v>
      </c>
      <c r="L1145" t="str">
        <f>"29/04/2021"</f>
        <v>29/04/2021</v>
      </c>
      <c r="M1145" t="str">
        <f>""</f>
        <v/>
      </c>
      <c r="N1145" t="str">
        <f>"O.ME.CA. di Cavalletto Paolo S.R.L. Via Maestri del Lavoro 19 30034 Gambarare di Mira VE"</f>
        <v>O.ME.CA. di Cavalletto Paolo S.R.L. Via Maestri del Lavoro 19 30034 Gambarare di Mira VE</v>
      </c>
      <c r="O1145" t="str">
        <f>"O.ME.CA. di Cavalletto Paolo S.R.L. Via Maestri del Lavoro 19 30034 Gambarare di Mira VE"</f>
        <v>O.ME.CA. di Cavalletto Paolo S.R.L. Via Maestri del Lavoro 19 30034 Gambarare di Mira VE</v>
      </c>
      <c r="P1145" t="str">
        <f>"Z0C30479FA: [6900.00€ ]"</f>
        <v>Z0C30479FA: [6900.00€ ]</v>
      </c>
      <c r="Q1145" t="str">
        <f>""</f>
        <v/>
      </c>
      <c r="R1145" t="str">
        <f>""</f>
        <v/>
      </c>
      <c r="S1145" t="str">
        <f>""</f>
        <v/>
      </c>
      <c r="T1145" t="str">
        <f>"https://portaletrasparenza.consorziobacchiglione.it/dettagli/attodigara/6562/fornitura-e-installazione-nuovo-cancello-presso-argine-sx-in-via-catajo-montegrotto-terme.html"</f>
        <v>https://portaletrasparenza.consorziobacchiglione.it/dettagli/attodigara/6562/fornitura-e-installazione-nuovo-cancello-presso-argine-sx-in-via-catajo-montegrotto-terme.html</v>
      </c>
      <c r="U1145" t="str">
        <f>"https://portaletrasparenza.consorziobacchiglione.it/download/attodigara/6562/63ac454c36f15.PDF"</f>
        <v>https://portaletrasparenza.consorziobacchiglione.it/download/attodigara/6562/63ac454c36f15.PDF</v>
      </c>
      <c r="V114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46" spans="1:22" x14ac:dyDescent="0.3">
      <c r="A1146" t="str">
        <f>"Affidamento"</f>
        <v>Affidamento</v>
      </c>
      <c r="B1146" t="str">
        <f>"Fornitura n 8 pneumatici per mezzo con targa: AGZ838."</f>
        <v>Fornitura n 8 pneumatici per mezzo con targa: AGZ838.</v>
      </c>
      <c r="C1146" t="str">
        <f>"Z7D189D7EB"</f>
        <v>Z7D189D7EB</v>
      </c>
      <c r="D1146" t="str">
        <f>"04/11/2021"</f>
        <v>04/11/2021</v>
      </c>
      <c r="E1146" t="str">
        <f>""</f>
        <v/>
      </c>
      <c r="F1146" t="str">
        <f>""</f>
        <v/>
      </c>
      <c r="G1146" t="str">
        <f>"2517.60"</f>
        <v>2517.60</v>
      </c>
      <c r="H1146" t="str">
        <f>"Consorzio di bonifica Bacchiglione"</f>
        <v>Consorzio di bonifica Bacchiglione</v>
      </c>
      <c r="I1146" t="str">
        <f>"92223390284"</f>
        <v>92223390284</v>
      </c>
      <c r="J1146" t="str">
        <f>"23-AFFIDAMENTO DIRETTO"</f>
        <v>23-AFFIDAMENTO DIRETTO</v>
      </c>
      <c r="K1146" t="str">
        <f>"19/02/2021"</f>
        <v>19/02/2021</v>
      </c>
      <c r="L1146" t="str">
        <f>"18/05/2021"</f>
        <v>18/05/2021</v>
      </c>
      <c r="M1146" t="str">
        <f>""</f>
        <v/>
      </c>
      <c r="N1146" t="str">
        <f>"Galesso Roberto Via San Rocco 52B 35028 Piove di Sacco PD"</f>
        <v>Galesso Roberto Via San Rocco 52B 35028 Piove di Sacco PD</v>
      </c>
      <c r="O1146" t="str">
        <f>"Galesso Roberto Via San Rocco 52B 35028 Piove di Sacco PD"</f>
        <v>Galesso Roberto Via San Rocco 52B 35028 Piove di Sacco PD</v>
      </c>
      <c r="P1146" t="str">
        <f>"Z7D189D7EB: [2517.60€ ]"</f>
        <v>Z7D189D7EB: [2517.60€ ]</v>
      </c>
      <c r="Q1146" t="str">
        <f>""</f>
        <v/>
      </c>
      <c r="R1146" t="str">
        <f>""</f>
        <v/>
      </c>
      <c r="S1146" t="str">
        <f>""</f>
        <v/>
      </c>
      <c r="T1146" t="str">
        <f>"https://portaletrasparenza.consorziobacchiglione.it/dettagli/attodigara/171/fornitura-n-8-pneumatici-per-mezzo-con-targa-agz838.html"</f>
        <v>https://portaletrasparenza.consorziobacchiglione.it/dettagli/attodigara/171/fornitura-n-8-pneumatici-per-mezzo-con-targa-agz838.html</v>
      </c>
      <c r="U1146" t="str">
        <f>""</f>
        <v/>
      </c>
      <c r="V11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47" spans="1:22" x14ac:dyDescent="0.3">
      <c r="A1147" t="str">
        <f>"Affidamento"</f>
        <v>Affidamento</v>
      </c>
      <c r="B1147" t="str">
        <f>"Smont/montaggio , riparazione copertura, inversione ant/post su mezzi con targa: PDB49361, DS718AA."</f>
        <v>Smont/montaggio , riparazione copertura, inversione ant/post su mezzi con targa: PDB49361, DS718AA.</v>
      </c>
      <c r="C1147" t="str">
        <f>"Z1A189D6BA"</f>
        <v>Z1A189D6BA</v>
      </c>
      <c r="D1147" t="str">
        <f>"04/11/2021"</f>
        <v>04/11/2021</v>
      </c>
      <c r="E1147" t="str">
        <f>""</f>
        <v/>
      </c>
      <c r="F1147" t="str">
        <f>""</f>
        <v/>
      </c>
      <c r="G1147" t="str">
        <f>"95.00"</f>
        <v>95.00</v>
      </c>
      <c r="H1147" t="str">
        <f>"Consorzio di bonifica Bacchiglione"</f>
        <v>Consorzio di bonifica Bacchiglione</v>
      </c>
      <c r="I1147" t="str">
        <f>"92223390284"</f>
        <v>92223390284</v>
      </c>
      <c r="J1147" t="str">
        <f>"23-AFFIDAMENTO DIRETTO"</f>
        <v>23-AFFIDAMENTO DIRETTO</v>
      </c>
      <c r="K1147" t="str">
        <f>"19/02/2021"</f>
        <v>19/02/2021</v>
      </c>
      <c r="L1147" t="str">
        <f>"14/04/2021"</f>
        <v>14/04/2021</v>
      </c>
      <c r="M1147" t="str">
        <f>""</f>
        <v/>
      </c>
      <c r="N1147" t="str">
        <f>"Galesso Roberto Via San Rocco 52B 35028 Piove di Sacco PD"</f>
        <v>Galesso Roberto Via San Rocco 52B 35028 Piove di Sacco PD</v>
      </c>
      <c r="O1147" t="str">
        <f>"Galesso Roberto Via San Rocco 52B 35028 Piove di Sacco PD"</f>
        <v>Galesso Roberto Via San Rocco 52B 35028 Piove di Sacco PD</v>
      </c>
      <c r="P1147" t="str">
        <f>"Z1A189D6BA: [95.00€ ]"</f>
        <v>Z1A189D6BA: [95.00€ ]</v>
      </c>
      <c r="Q1147" t="str">
        <f>""</f>
        <v/>
      </c>
      <c r="R1147" t="str">
        <f>""</f>
        <v/>
      </c>
      <c r="S1147" t="str">
        <f>""</f>
        <v/>
      </c>
      <c r="T1147" t="str">
        <f>"https://portaletrasparenza.consorziobacchiglione.it/dettagli/attodigara/170/smont-montaggio-riparazione-copertura-inversione-ant-post-su-mezzi-con-targa-pdb49361-ds718aa.html"</f>
        <v>https://portaletrasparenza.consorziobacchiglione.it/dettagli/attodigara/170/smont-montaggio-riparazione-copertura-inversione-ant-post-su-mezzi-con-targa-pdb49361-ds718aa.html</v>
      </c>
      <c r="U1147" t="str">
        <f>""</f>
        <v/>
      </c>
      <c r="V114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48" spans="1:22" x14ac:dyDescent="0.3">
      <c r="A1148" t="str">
        <f>"Affidamento"</f>
        <v>Affidamento</v>
      </c>
      <c r="B1148" t="str">
        <f>"Noleggio escavatore Volvo ECR 88D più battipalo per lavori di sistemazione presso scolo Scarpa"</f>
        <v>Noleggio escavatore Volvo ECR 88D più battipalo per lavori di sistemazione presso scolo Scarpa</v>
      </c>
      <c r="C1148" t="str">
        <f>"ZE230B772A"</f>
        <v>ZE230B772A</v>
      </c>
      <c r="D1148" t="str">
        <f>"19/02/2021"</f>
        <v>19/02/2021</v>
      </c>
      <c r="E1148" t="str">
        <f>""</f>
        <v/>
      </c>
      <c r="F1148" t="str">
        <f>""</f>
        <v/>
      </c>
      <c r="G1148" t="str">
        <f>"3745.00"</f>
        <v>3745.00</v>
      </c>
      <c r="H1148" t="str">
        <f>"Consorzio di bonifica Bacchiglione"</f>
        <v>Consorzio di bonifica Bacchiglione</v>
      </c>
      <c r="I1148" t="str">
        <f>"92223390284"</f>
        <v>92223390284</v>
      </c>
      <c r="J1148" t="str">
        <f>"23-AFFIDAMENTO DIRETTO"</f>
        <v>23-AFFIDAMENTO DIRETTO</v>
      </c>
      <c r="K1148" t="str">
        <f>"19/02/2021"</f>
        <v>19/02/2021</v>
      </c>
      <c r="L1148" t="str">
        <f>"29/03/2021"</f>
        <v>29/03/2021</v>
      </c>
      <c r="M1148" t="str">
        <f>""</f>
        <v/>
      </c>
      <c r="N1148" t="str">
        <f>"Foredil S.r.l. Via E.Fermi, 22 - 35030 Sarmeola di Rubano (PD)"</f>
        <v>Foredil S.r.l. Via E.Fermi, 22 - 35030 Sarmeola di Rubano (PD)</v>
      </c>
      <c r="O1148" t="str">
        <f>"Foredil S.r.l. Via E.Fermi, 22 - 35030 Sarmeola di Rubano (PD)"</f>
        <v>Foredil S.r.l. Via E.Fermi, 22 - 35030 Sarmeola di Rubano (PD)</v>
      </c>
      <c r="P1148" t="str">
        <f>"ZE230B772A: [3745.00€ ]"</f>
        <v>ZE230B772A: [3745.00€ ]</v>
      </c>
      <c r="Q1148" t="str">
        <f>""</f>
        <v/>
      </c>
      <c r="R1148" t="str">
        <f>""</f>
        <v/>
      </c>
      <c r="S1148" t="str">
        <f>""</f>
        <v/>
      </c>
      <c r="T1148" t="str">
        <f>"https://portaletrasparenza.consorziobacchiglione.it/dettagli/attodigara/6646/noleggio-escavatore-volvo-ecr-88d-piu-battipalo-per-lavori-di-sistemazione-presso-scolo-scarpa.html"</f>
        <v>https://portaletrasparenza.consorziobacchiglione.it/dettagli/attodigara/6646/noleggio-escavatore-volvo-ecr-88d-piu-battipalo-per-lavori-di-sistemazione-presso-scolo-scarpa.html</v>
      </c>
      <c r="U1148" t="str">
        <f>"https://portaletrasparenza.consorziobacchiglione.it/download/attodigara/6646/63ac455e62fb8.PDF"</f>
        <v>https://portaletrasparenza.consorziobacchiglione.it/download/attodigara/6646/63ac455e62fb8.PDF</v>
      </c>
      <c r="V11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49" spans="1:22" x14ac:dyDescent="0.3">
      <c r="A1149" t="str">
        <f>"Affidamento"</f>
        <v>Affidamento</v>
      </c>
      <c r="B1149" t="str">
        <f>"Noleggio escavatore Kubota KX080 per lavori presso scolo Volparo"</f>
        <v>Noleggio escavatore Kubota KX080 per lavori presso scolo Volparo</v>
      </c>
      <c r="C1149" t="str">
        <f>"ZF530B5707"</f>
        <v>ZF530B5707</v>
      </c>
      <c r="D1149" t="str">
        <f>"19/02/2021"</f>
        <v>19/02/2021</v>
      </c>
      <c r="E1149" t="str">
        <f>""</f>
        <v/>
      </c>
      <c r="F1149" t="str">
        <f>""</f>
        <v/>
      </c>
      <c r="G1149" t="str">
        <f>"5775.00"</f>
        <v>5775.00</v>
      </c>
      <c r="H1149" t="str">
        <f>"Consorzio di bonifica Bacchiglione"</f>
        <v>Consorzio di bonifica Bacchiglione</v>
      </c>
      <c r="I1149" t="str">
        <f>"92223390284"</f>
        <v>92223390284</v>
      </c>
      <c r="J1149" t="str">
        <f>"23-AFFIDAMENTO DIRETTO"</f>
        <v>23-AFFIDAMENTO DIRETTO</v>
      </c>
      <c r="K1149" t="str">
        <f>"19/02/2021"</f>
        <v>19/02/2021</v>
      </c>
      <c r="L1149" t="str">
        <f>"08/03/2021"</f>
        <v>08/03/2021</v>
      </c>
      <c r="M1149" t="str">
        <f>""</f>
        <v/>
      </c>
      <c r="N1149" t="str">
        <f>"Sorme s.n.c. Via Monache 21 35030 Selvazzano Dentro PD"</f>
        <v>Sorme s.n.c. Via Monache 21 35030 Selvazzano Dentro PD</v>
      </c>
      <c r="O1149" t="str">
        <f>"Sorme s.n.c. Via Monache 21 35030 Selvazzano Dentro PD"</f>
        <v>Sorme s.n.c. Via Monache 21 35030 Selvazzano Dentro PD</v>
      </c>
      <c r="P1149" t="str">
        <f>"ZF530B5707: [5775.00€ ]"</f>
        <v>ZF530B5707: [5775.00€ ]</v>
      </c>
      <c r="Q1149" t="str">
        <f>""</f>
        <v/>
      </c>
      <c r="R1149" t="str">
        <f>""</f>
        <v/>
      </c>
      <c r="S1149" t="str">
        <f>""</f>
        <v/>
      </c>
      <c r="T1149" t="str">
        <f>"https://portaletrasparenza.consorziobacchiglione.it/dettagli/attodigara/6644/noleggio-escavatore-kubota-kx080-per-lavori-presso-scolo-volparo.html"</f>
        <v>https://portaletrasparenza.consorziobacchiglione.it/dettagli/attodigara/6644/noleggio-escavatore-kubota-kx080-per-lavori-presso-scolo-volparo.html</v>
      </c>
      <c r="U1149" t="str">
        <f>"https://portaletrasparenza.consorziobacchiglione.it/download/attodigara/6644/63ac455db281a.PDF"</f>
        <v>https://portaletrasparenza.consorziobacchiglione.it/download/attodigara/6644/63ac455db281a.PDF</v>
      </c>
      <c r="V11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50" spans="1:22" x14ac:dyDescent="0.3">
      <c r="A1150" t="str">
        <f>"Affidamento"</f>
        <v>Affidamento</v>
      </c>
      <c r="B1150" t="str">
        <f>"Fornitura n.5 Webcam Atlantis F930HD presso sede"</f>
        <v>Fornitura n.5 Webcam Atlantis F930HD presso sede</v>
      </c>
      <c r="C1150" t="str">
        <f>"ZF530B6B9E"</f>
        <v>ZF530B6B9E</v>
      </c>
      <c r="D1150" t="str">
        <f>"19/02/2021"</f>
        <v>19/02/2021</v>
      </c>
      <c r="E1150" t="str">
        <f>""</f>
        <v/>
      </c>
      <c r="F1150" t="str">
        <f>""</f>
        <v/>
      </c>
      <c r="G1150" t="str">
        <f>"124.51"</f>
        <v>124.51</v>
      </c>
      <c r="H1150" t="str">
        <f>"Consorzio di bonifica Bacchiglione"</f>
        <v>Consorzio di bonifica Bacchiglione</v>
      </c>
      <c r="I1150" t="str">
        <f>"92223390284"</f>
        <v>92223390284</v>
      </c>
      <c r="J1150" t="str">
        <f>"23-AFFIDAMENTO DIRETTO"</f>
        <v>23-AFFIDAMENTO DIRETTO</v>
      </c>
      <c r="K1150" t="str">
        <f>"19/02/2021"</f>
        <v>19/02/2021</v>
      </c>
      <c r="L1150" t="str">
        <f>"16/03/2021"</f>
        <v>16/03/2021</v>
      </c>
      <c r="M1150" t="str">
        <f>""</f>
        <v/>
      </c>
      <c r="N1150" t="str">
        <f>"Hard Service S.r.l. Via del Progresso, 2 35010 Peraga di Vigonza (PD)"</f>
        <v>Hard Service S.r.l. Via del Progresso, 2 35010 Peraga di Vigonza (PD)</v>
      </c>
      <c r="O1150" t="str">
        <f>"Hard Service S.r.l. Via del Progresso, 2 35010 Peraga di Vigonza (PD)"</f>
        <v>Hard Service S.r.l. Via del Progresso, 2 35010 Peraga di Vigonza (PD)</v>
      </c>
      <c r="P1150" t="str">
        <f>"ZF530B6B9E: [124.50€ ]"</f>
        <v>ZF530B6B9E: [124.50€ ]</v>
      </c>
      <c r="Q1150" t="str">
        <f>""</f>
        <v/>
      </c>
      <c r="R1150" t="str">
        <f>""</f>
        <v/>
      </c>
      <c r="S1150" t="str">
        <f>""</f>
        <v/>
      </c>
      <c r="T1150" t="str">
        <f>"https://portaletrasparenza.consorziobacchiglione.it/dettagli/attodigara/6645/fornitura-n-5-webcam-atlantis-f930hd-presso-sede.html"</f>
        <v>https://portaletrasparenza.consorziobacchiglione.it/dettagli/attodigara/6645/fornitura-n-5-webcam-atlantis-f930hd-presso-sede.html</v>
      </c>
      <c r="U1150" t="str">
        <f>"https://portaletrasparenza.consorziobacchiglione.it/download/attodigara/6645/63ac455d78d8a.PDF"</f>
        <v>https://portaletrasparenza.consorziobacchiglione.it/download/attodigara/6645/63ac455d78d8a.PDF</v>
      </c>
      <c r="V1150">
        <f>(SUBSTITUTE(Tabella1[[#This Row],[Importo di aggiudicazione]],".",","))-(SUBSTITUTE(  SUBSTITUTE(          SUBSTITUTE(Tabella1[[#This Row],[Dettaglio somme liquidate]],Tabella1[[#This Row],[CIG]]&amp;": [",""),"€ ]",""),".",","))</f>
        <v>1.0000000000005116E-2</v>
      </c>
    </row>
    <row r="1151" spans="1:22" x14ac:dyDescent="0.3">
      <c r="A1151" t="str">
        <f>"Affidamento"</f>
        <v>Affidamento</v>
      </c>
      <c r="B1151" t="str">
        <f>"Fornitura materiale elettrico per vari Impianti presso Bacino Sesta Presa"</f>
        <v>Fornitura materiale elettrico per vari Impianti presso Bacino Sesta Presa</v>
      </c>
      <c r="C1151" t="str">
        <f>"ZC430B78E2"</f>
        <v>ZC430B78E2</v>
      </c>
      <c r="D1151" t="str">
        <f>"19/02/2021"</f>
        <v>19/02/2021</v>
      </c>
      <c r="E1151" t="str">
        <f>""</f>
        <v/>
      </c>
      <c r="F1151" t="str">
        <f>""</f>
        <v/>
      </c>
      <c r="G1151" t="str">
        <f>"730.69"</f>
        <v>730.69</v>
      </c>
      <c r="H1151" t="str">
        <f>"Consorzio di bonifica Bacchiglione"</f>
        <v>Consorzio di bonifica Bacchiglione</v>
      </c>
      <c r="I1151" t="str">
        <f>"92223390284"</f>
        <v>92223390284</v>
      </c>
      <c r="J1151" t="str">
        <f>"23-AFFIDAMENTO DIRETTO"</f>
        <v>23-AFFIDAMENTO DIRETTO</v>
      </c>
      <c r="K1151" t="str">
        <f>"19/02/2021"</f>
        <v>19/02/2021</v>
      </c>
      <c r="L1151" t="str">
        <f>"31/03/2021"</f>
        <v>31/03/2021</v>
      </c>
      <c r="M1151" t="str">
        <f>""</f>
        <v/>
      </c>
      <c r="N1151" t="str">
        <f>"Elettroveneta S.p.A. Viale della Navigazione Interna, 48 - 35129 Padova (PD)"</f>
        <v>Elettroveneta S.p.A. Viale della Navigazione Interna, 48 - 35129 Padova (PD)</v>
      </c>
      <c r="O1151" t="str">
        <f>"Elettroveneta S.p.A. Viale della Navigazione Interna, 48 - 35129 Padova (PD)"</f>
        <v>Elettroveneta S.p.A. Viale della Navigazione Interna, 48 - 35129 Padova (PD)</v>
      </c>
      <c r="P1151" t="str">
        <f>"ZC430B78E2: [614.59€ ]"</f>
        <v>ZC430B78E2: [614.59€ ]</v>
      </c>
      <c r="Q1151" t="str">
        <f>""</f>
        <v/>
      </c>
      <c r="R1151" t="str">
        <f>""</f>
        <v/>
      </c>
      <c r="S1151" t="str">
        <f>""</f>
        <v/>
      </c>
      <c r="T1151" t="str">
        <f>"https://portaletrasparenza.consorziobacchiglione.it/dettagli/attodigara/6647/fornitura-materiale-elettrico-per-vari-impianti-presso-bacino-sesta-presa.html"</f>
        <v>https://portaletrasparenza.consorziobacchiglione.it/dettagli/attodigara/6647/fornitura-materiale-elettrico-per-vari-impianti-presso-bacino-sesta-presa.html</v>
      </c>
      <c r="U1151" t="str">
        <f>"https://portaletrasparenza.consorziobacchiglione.it/download/attodigara/6647/63ac455e9b8c5.PDF"</f>
        <v>https://portaletrasparenza.consorziobacchiglione.it/download/attodigara/6647/63ac455e9b8c5.PDF</v>
      </c>
      <c r="V1151">
        <f>(SUBSTITUTE(Tabella1[[#This Row],[Importo di aggiudicazione]],".",","))-(SUBSTITUTE(  SUBSTITUTE(          SUBSTITUTE(Tabella1[[#This Row],[Dettaglio somme liquidate]],Tabella1[[#This Row],[CIG]]&amp;": [",""),"€ ]",""),".",","))</f>
        <v>116.10000000000002</v>
      </c>
    </row>
    <row r="1152" spans="1:22" x14ac:dyDescent="0.3">
      <c r="A1152" t="str">
        <f>"Affidamento"</f>
        <v>Affidamento</v>
      </c>
      <c r="B1152" t="str">
        <f>"Quota associativa annuale 2016 per l'iscrizione all' Albo Veneto Installatori Elettrici Qualificati AVIEL UNAE Veneto."</f>
        <v>Quota associativa annuale 2016 per l'iscrizione all' Albo Veneto Installatori Elettrici Qualificati AVIEL UNAE Veneto.</v>
      </c>
      <c r="C1152" t="str">
        <f>"Z5D1911148"</f>
        <v>Z5D1911148</v>
      </c>
      <c r="D1152" t="str">
        <f>"04/11/2021"</f>
        <v>04/11/2021</v>
      </c>
      <c r="E1152" t="str">
        <f>""</f>
        <v/>
      </c>
      <c r="F1152" t="str">
        <f>""</f>
        <v/>
      </c>
      <c r="G1152" t="str">
        <f>"115.00"</f>
        <v>115.00</v>
      </c>
      <c r="H1152" t="str">
        <f>"Consorzio di bonifica Bacchiglione"</f>
        <v>Consorzio di bonifica Bacchiglione</v>
      </c>
      <c r="I1152" t="str">
        <f>"92223390284"</f>
        <v>92223390284</v>
      </c>
      <c r="J1152" t="str">
        <f>"23-AFFIDAMENTO DIRETTO"</f>
        <v>23-AFFIDAMENTO DIRETTO</v>
      </c>
      <c r="K1152" t="str">
        <f>"19/03/2021"</f>
        <v>19/03/2021</v>
      </c>
      <c r="L1152" t="str">
        <f>"05/04/2021"</f>
        <v>05/04/2021</v>
      </c>
      <c r="M1152" t="str">
        <f>""</f>
        <v/>
      </c>
      <c r="N1152" t="str">
        <f>"Aviel Unae Veneto presso Università di Padova - Dipartimento di Ingegneria Elettrica Via G. Gradenigo 6A 35131 Padova"</f>
        <v>Aviel Unae Veneto presso Università di Padova - Dipartimento di Ingegneria Elettrica Via G. Gradenigo 6A 35131 Padova</v>
      </c>
      <c r="O1152" t="str">
        <f>"Aviel Unae Veneto presso Università di Padova - Dipartimento di Ingegneria Elettrica Via G. Gradenigo 6A 35131 Padova"</f>
        <v>Aviel Unae Veneto presso Università di Padova - Dipartimento di Ingegneria Elettrica Via G. Gradenigo 6A 35131 Padova</v>
      </c>
      <c r="P1152" t="str">
        <f>"Z5D1911148: [115.00€ ]"</f>
        <v>Z5D1911148: [115.00€ ]</v>
      </c>
      <c r="Q1152" t="str">
        <f>""</f>
        <v/>
      </c>
      <c r="R1152" t="str">
        <f>""</f>
        <v/>
      </c>
      <c r="S1152" t="str">
        <f>""</f>
        <v/>
      </c>
      <c r="T1152" t="str">
        <f>"https://portaletrasparenza.consorziobacchiglione.it/dettagli/attodigara/245/quota-associativa-annuale-2016-per-l-iscrizione-all-albo-veneto-installatori-elettrici-qualificati-aviel-unae-veneto.html"</f>
        <v>https://portaletrasparenza.consorziobacchiglione.it/dettagli/attodigara/245/quota-associativa-annuale-2016-per-l-iscrizione-all-albo-veneto-installatori-elettrici-qualificati-aviel-unae-veneto.html</v>
      </c>
      <c r="U1152" t="str">
        <f>""</f>
        <v/>
      </c>
      <c r="V11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53" spans="1:22" x14ac:dyDescent="0.3">
      <c r="A1153" t="str">
        <f>"Affidamento"</f>
        <v>Affidamento</v>
      </c>
      <c r="B1153" t="str">
        <f>"Fornitura nuovo centralino telefonico e telefoni per uffici sede consorziale."</f>
        <v>Fornitura nuovo centralino telefonico e telefoni per uffici sede consorziale.</v>
      </c>
      <c r="C1153" t="str">
        <f>"Z8C1981C49"</f>
        <v>Z8C1981C49</v>
      </c>
      <c r="D1153" t="str">
        <f>"04/11/2021"</f>
        <v>04/11/2021</v>
      </c>
      <c r="E1153" t="str">
        <f>""</f>
        <v/>
      </c>
      <c r="F1153" t="str">
        <f>""</f>
        <v/>
      </c>
      <c r="G1153" t="str">
        <f>"12268.00"</f>
        <v>12268.00</v>
      </c>
      <c r="H1153" t="str">
        <f>"Consorzio di bonifica Bacchiglione"</f>
        <v>Consorzio di bonifica Bacchiglione</v>
      </c>
      <c r="I1153" t="str">
        <f>"92223390284"</f>
        <v>92223390284</v>
      </c>
      <c r="J1153" t="str">
        <f>"23-AFFIDAMENTO DIRETTO"</f>
        <v>23-AFFIDAMENTO DIRETTO</v>
      </c>
      <c r="K1153" t="str">
        <f>"19/04/2021"</f>
        <v>19/04/2021</v>
      </c>
      <c r="L1153" t="str">
        <f>"15/06/2021"</f>
        <v>15/06/2021</v>
      </c>
      <c r="M1153" t="str">
        <f>""</f>
        <v/>
      </c>
      <c r="N1153" t="str">
        <f>"Telecom s.r.l. Via Marignana 98 31021 Marocco di Mogliano Veneto TV"</f>
        <v>Telecom s.r.l. Via Marignana 98 31021 Marocco di Mogliano Veneto TV</v>
      </c>
      <c r="O1153" t="str">
        <f>"Telecom s.r.l. Via Marignana 98 31021 Marocco di Mogliano Veneto TV"</f>
        <v>Telecom s.r.l. Via Marignana 98 31021 Marocco di Mogliano Veneto TV</v>
      </c>
      <c r="P1153" t="s">
        <v>165</v>
      </c>
      <c r="Q1153" t="str">
        <f>""</f>
        <v/>
      </c>
      <c r="R1153" t="str">
        <f>""</f>
        <v/>
      </c>
      <c r="S1153" t="str">
        <f>""</f>
        <v/>
      </c>
      <c r="T1153" t="str">
        <f>"https://portaletrasparenza.consorziobacchiglione.it/dettagli/attodigara/340/fornitura-nuovo-centralino-telefonico-e-telefoni-per-uffici-sede-consorziale.html"</f>
        <v>https://portaletrasparenza.consorziobacchiglione.it/dettagli/attodigara/340/fornitura-nuovo-centralino-telefonico-e-telefoni-per-uffici-sede-consorziale.html</v>
      </c>
      <c r="U1153" t="str">
        <f>""</f>
        <v/>
      </c>
      <c r="V11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54" spans="1:22" x14ac:dyDescent="0.3">
      <c r="A1154" t="str">
        <f>"Affidamento"</f>
        <v>Affidamento</v>
      </c>
      <c r="B1154" t="str">
        <f>"Installazione nuovo centralino telefonico presso sede consorziale."</f>
        <v>Installazione nuovo centralino telefonico presso sede consorziale.</v>
      </c>
      <c r="C1154" t="str">
        <f>"Z8D1981E84"</f>
        <v>Z8D1981E84</v>
      </c>
      <c r="D1154" t="str">
        <f>"04/11/2021"</f>
        <v>04/11/2021</v>
      </c>
      <c r="E1154" t="str">
        <f>""</f>
        <v/>
      </c>
      <c r="F1154" t="str">
        <f>""</f>
        <v/>
      </c>
      <c r="G1154" t="str">
        <f>"2720.00"</f>
        <v>2720.00</v>
      </c>
      <c r="H1154" t="str">
        <f>"Consorzio di bonifica Bacchiglione"</f>
        <v>Consorzio di bonifica Bacchiglione</v>
      </c>
      <c r="I1154" t="str">
        <f>"92223390284"</f>
        <v>92223390284</v>
      </c>
      <c r="J1154" t="str">
        <f>"23-AFFIDAMENTO DIRETTO"</f>
        <v>23-AFFIDAMENTO DIRETTO</v>
      </c>
      <c r="K1154" t="str">
        <f>"19/04/2021"</f>
        <v>19/04/2021</v>
      </c>
      <c r="L1154" t="str">
        <f>"09/06/2021"</f>
        <v>09/06/2021</v>
      </c>
      <c r="M1154" t="str">
        <f>""</f>
        <v/>
      </c>
      <c r="N1154" t="str">
        <f>"Telecom s.r.l. Via Marignana 98 31021 Marocco di Mogliano Veneto TV"</f>
        <v>Telecom s.r.l. Via Marignana 98 31021 Marocco di Mogliano Veneto TV</v>
      </c>
      <c r="O1154" t="str">
        <f>"Telecom s.r.l. Via Marignana 98 31021 Marocco di Mogliano Veneto TV"</f>
        <v>Telecom s.r.l. Via Marignana 98 31021 Marocco di Mogliano Veneto TV</v>
      </c>
      <c r="P1154" t="str">
        <f>"Z8D1981E84: [2720.00€ ]"</f>
        <v>Z8D1981E84: [2720.00€ ]</v>
      </c>
      <c r="Q1154" t="str">
        <f>""</f>
        <v/>
      </c>
      <c r="R1154" t="str">
        <f>""</f>
        <v/>
      </c>
      <c r="S1154" t="str">
        <f>""</f>
        <v/>
      </c>
      <c r="T1154" t="str">
        <f>"https://portaletrasparenza.consorziobacchiglione.it/dettagli/attodigara/341/installazione-nuovo-centralino-telefonico-presso-sede-consorziale.html"</f>
        <v>https://portaletrasparenza.consorziobacchiglione.it/dettagli/attodigara/341/installazione-nuovo-centralino-telefonico-presso-sede-consorziale.html</v>
      </c>
      <c r="U1154" t="str">
        <f>""</f>
        <v/>
      </c>
      <c r="V11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55" spans="1:22" x14ac:dyDescent="0.3">
      <c r="A1155" t="str">
        <f>"Affidamento"</f>
        <v>Affidamento</v>
      </c>
      <c r="B1155" t="str">
        <f>"Incarico professionale per prestazioni di Coordinatore della Sicurezza in Progettazione ed Esecuzione, Direzione Lavori e contabilità lavori. - Processo ID 004-15."</f>
        <v>Incarico professionale per prestazioni di Coordinatore della Sicurezza in Progettazione ed Esecuzione, Direzione Lavori e contabilità lavori. - Processo ID 004-15.</v>
      </c>
      <c r="C1155" t="str">
        <f>"Z2D197E63F"</f>
        <v>Z2D197E63F</v>
      </c>
      <c r="D1155" t="str">
        <f>"04/11/2021"</f>
        <v>04/11/2021</v>
      </c>
      <c r="E1155" t="str">
        <f>""</f>
        <v/>
      </c>
      <c r="F1155" t="str">
        <f>""</f>
        <v/>
      </c>
      <c r="G1155" t="str">
        <f>"15600.00"</f>
        <v>15600.00</v>
      </c>
      <c r="H1155" t="str">
        <f>"Consorzio di bonifica Bacchiglione"</f>
        <v>Consorzio di bonifica Bacchiglione</v>
      </c>
      <c r="I1155" t="str">
        <f>"92223390284"</f>
        <v>92223390284</v>
      </c>
      <c r="J1155" t="str">
        <f>"23-AFFIDAMENTO DIRETTO"</f>
        <v>23-AFFIDAMENTO DIRETTO</v>
      </c>
      <c r="K1155" t="str">
        <f>"19/04/2021"</f>
        <v>19/04/2021</v>
      </c>
      <c r="L1155" t="str">
        <f>"27/02/2021"</f>
        <v>27/02/2021</v>
      </c>
      <c r="M1155" t="str">
        <f>""</f>
        <v/>
      </c>
      <c r="N1155" t="str">
        <f>"Ing. Antonio Muzzolon"</f>
        <v>Ing. Antonio Muzzolon</v>
      </c>
      <c r="O1155" t="str">
        <f>"Ing. Antonio Muzzolon"</f>
        <v>Ing. Antonio Muzzolon</v>
      </c>
      <c r="P1155" t="str">
        <f>"Z2D197E63F: [15600.00€ ]"</f>
        <v>Z2D197E63F: [15600.00€ ]</v>
      </c>
      <c r="Q1155" t="str">
        <f>""</f>
        <v/>
      </c>
      <c r="R1155" t="str">
        <f>""</f>
        <v/>
      </c>
      <c r="S1155" t="str">
        <f>""</f>
        <v/>
      </c>
      <c r="T1155" t="str">
        <f>"https://portaletrasparenza.consorziobacchiglione.it/dettagli/attodigara/338/incarico-professionale-per-prestazioni-di-coordinatore-della-sicurezza-in-progettazione-ed-esecuzione-direzione-lavori-e-contabilita-lavori-processo-id-004-15.html"</f>
        <v>https://portaletrasparenza.consorziobacchiglione.it/dettagli/attodigara/338/incarico-professionale-per-prestazioni-di-coordinatore-della-sicurezza-in-progettazione-ed-esecuzione-direzione-lavori-e-contabilita-lavori-processo-id-004-15.html</v>
      </c>
      <c r="U1155" t="str">
        <f>""</f>
        <v/>
      </c>
      <c r="V11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56" spans="1:22" x14ac:dyDescent="0.3">
      <c r="A1156" t="str">
        <f>"Affidamento"</f>
        <v>Affidamento</v>
      </c>
      <c r="B1156" t="str">
        <f>"Attivazione connessione internet circuito fibra ottica 30 Mb più back up SHDSL 4 Mb per sede consorziale."</f>
        <v>Attivazione connessione internet circuito fibra ottica 30 Mb più back up SHDSL 4 Mb per sede consorziale.</v>
      </c>
      <c r="C1156" t="str">
        <f>"Z251981FE6"</f>
        <v>Z251981FE6</v>
      </c>
      <c r="D1156" t="str">
        <f>"04/11/2021"</f>
        <v>04/11/2021</v>
      </c>
      <c r="E1156" t="str">
        <f>""</f>
        <v/>
      </c>
      <c r="F1156" t="str">
        <f>""</f>
        <v/>
      </c>
      <c r="G1156" t="str">
        <f>"1500.00"</f>
        <v>1500.00</v>
      </c>
      <c r="H1156" t="str">
        <f>"Consorzio di bonifica Bacchiglione"</f>
        <v>Consorzio di bonifica Bacchiglione</v>
      </c>
      <c r="I1156" t="str">
        <f>"92223390284"</f>
        <v>92223390284</v>
      </c>
      <c r="J1156" t="str">
        <f>"23-AFFIDAMENTO DIRETTO"</f>
        <v>23-AFFIDAMENTO DIRETTO</v>
      </c>
      <c r="K1156" t="str">
        <f>"19/04/2021"</f>
        <v>19/04/2021</v>
      </c>
      <c r="L1156" t="str">
        <f>"01/09/2021"</f>
        <v>01/09/2021</v>
      </c>
      <c r="M1156" t="str">
        <f>""</f>
        <v/>
      </c>
      <c r="N1156" t="str">
        <f>"Fastweb S.P.A. Piazza Adriano Olivetti 1 - 20139 Milano"</f>
        <v>Fastweb S.P.A. Piazza Adriano Olivetti 1 - 20139 Milano</v>
      </c>
      <c r="O1156" t="str">
        <f>"Fastweb S.P.A. Piazza Adriano Olivetti 1 - 20139 Milano"</f>
        <v>Fastweb S.P.A. Piazza Adriano Olivetti 1 - 20139 Milano</v>
      </c>
      <c r="P1156" t="str">
        <f>"Z251981FE6: [1499.72€ ]"</f>
        <v>Z251981FE6: [1499.72€ ]</v>
      </c>
      <c r="Q1156" t="str">
        <f>""</f>
        <v/>
      </c>
      <c r="R1156" t="str">
        <f>""</f>
        <v/>
      </c>
      <c r="S1156" t="str">
        <f>""</f>
        <v/>
      </c>
      <c r="T1156" t="str">
        <f>"https://portaletrasparenza.consorziobacchiglione.it/dettagli/attodigara/342/attivazione-connessione-internet-circuito-fibra-ottica-30-mb-piu-back-up-shdsl-4-mb-per-sede-consorziale.html"</f>
        <v>https://portaletrasparenza.consorziobacchiglione.it/dettagli/attodigara/342/attivazione-connessione-internet-circuito-fibra-ottica-30-mb-piu-back-up-shdsl-4-mb-per-sede-consorziale.html</v>
      </c>
      <c r="U1156" t="str">
        <f>""</f>
        <v/>
      </c>
      <c r="V1156">
        <f>(SUBSTITUTE(Tabella1[[#This Row],[Importo di aggiudicazione]],".",","))-(SUBSTITUTE(  SUBSTITUTE(          SUBSTITUTE(Tabella1[[#This Row],[Dettaglio somme liquidate]],Tabella1[[#This Row],[CIG]]&amp;": [",""),"€ ]",""),".",","))</f>
        <v>0.27999999999997272</v>
      </c>
    </row>
    <row r="1157" spans="1:22" x14ac:dyDescent="0.3">
      <c r="A1157" t="str">
        <f>"Affidamento"</f>
        <v>Affidamento</v>
      </c>
      <c r="B1157" t="str">
        <f>"Servizi di assistenza archeologica. - Processo ID 013-14."</f>
        <v>Servizi di assistenza archeologica. - Processo ID 013-14.</v>
      </c>
      <c r="C1157" t="str">
        <f>"Z681980EA9"</f>
        <v>Z681980EA9</v>
      </c>
      <c r="D1157" t="str">
        <f>"04/11/2021"</f>
        <v>04/11/2021</v>
      </c>
      <c r="E1157" t="str">
        <f>""</f>
        <v/>
      </c>
      <c r="F1157" t="str">
        <f>""</f>
        <v/>
      </c>
      <c r="G1157" t="str">
        <f>"2400.00"</f>
        <v>2400.00</v>
      </c>
      <c r="H1157" t="str">
        <f>"Consorzio di bonifica Bacchiglione"</f>
        <v>Consorzio di bonifica Bacchiglione</v>
      </c>
      <c r="I1157" t="str">
        <f>"92223390284"</f>
        <v>92223390284</v>
      </c>
      <c r="J1157" t="str">
        <f>"23-AFFIDAMENTO DIRETTO"</f>
        <v>23-AFFIDAMENTO DIRETTO</v>
      </c>
      <c r="K1157" t="str">
        <f>"19/04/2021"</f>
        <v>19/04/2021</v>
      </c>
      <c r="L1157" t="str">
        <f>"31/08/2021"</f>
        <v>31/08/2021</v>
      </c>
      <c r="M1157" t="str">
        <f>""</f>
        <v/>
      </c>
      <c r="N1157" t="str">
        <f>"Studio di Archeologia Dott. Silvia Cipriano e Dott. Francesca Meloni | SAP Società Archeologica s.r.l. | Diego Malvestio E C. s.n.c."</f>
        <v>Studio di Archeologia Dott. Silvia Cipriano e Dott. Francesca Meloni | SAP Società Archeologica s.r.l. | Diego Malvestio E C. s.n.c.</v>
      </c>
      <c r="O1157" t="str">
        <f>"Studio di Archeologia Dott. Silvia Cipriano e Dott. Francesca Meloni"</f>
        <v>Studio di Archeologia Dott. Silvia Cipriano e Dott. Francesca Meloni</v>
      </c>
      <c r="P1157" t="str">
        <f>"Z681980EA9: [2288.00€ ]"</f>
        <v>Z681980EA9: [2288.00€ ]</v>
      </c>
      <c r="Q1157" t="str">
        <f>""</f>
        <v/>
      </c>
      <c r="R1157" t="str">
        <f>""</f>
        <v/>
      </c>
      <c r="S1157" t="str">
        <f>""</f>
        <v/>
      </c>
      <c r="T1157" t="str">
        <f>"https://portaletrasparenza.consorziobacchiglione.it/dettagli/attodigara/339/servizi-di-assistenza-archeologica-processo-id-013-14.html"</f>
        <v>https://portaletrasparenza.consorziobacchiglione.it/dettagli/attodigara/339/servizi-di-assistenza-archeologica-processo-id-013-14.html</v>
      </c>
      <c r="U1157" t="str">
        <f>""</f>
        <v/>
      </c>
      <c r="V1157">
        <f>(SUBSTITUTE(Tabella1[[#This Row],[Importo di aggiudicazione]],".",","))-(SUBSTITUTE(  SUBSTITUTE(          SUBSTITUTE(Tabella1[[#This Row],[Dettaglio somme liquidate]],Tabella1[[#This Row],[CIG]]&amp;": [",""),"€ ]",""),".",","))</f>
        <v>112</v>
      </c>
    </row>
    <row r="1158" spans="1:22" x14ac:dyDescent="0.3">
      <c r="A1158" t="str">
        <f>"Affidamento"</f>
        <v>Affidamento</v>
      </c>
      <c r="B1158" t="str">
        <f>"Noleggio miniescavatore Volvo ECR 88D per lavori presso Scolo Brentella"</f>
        <v>Noleggio miniescavatore Volvo ECR 88D per lavori presso Scolo Brentella</v>
      </c>
      <c r="C1158" t="str">
        <f>"ZBC3168F25"</f>
        <v>ZBC3168F25</v>
      </c>
      <c r="D1158" t="str">
        <f>"21/04/2021"</f>
        <v>21/04/2021</v>
      </c>
      <c r="E1158" t="str">
        <f>""</f>
        <v/>
      </c>
      <c r="F1158" t="str">
        <f>""</f>
        <v/>
      </c>
      <c r="G1158" t="str">
        <f>"722.25"</f>
        <v>722.25</v>
      </c>
      <c r="H1158" t="str">
        <f>"Consorzio di bonifica Bacchiglione"</f>
        <v>Consorzio di bonifica Bacchiglione</v>
      </c>
      <c r="I1158" t="str">
        <f>"92223390284"</f>
        <v>92223390284</v>
      </c>
      <c r="J1158" t="str">
        <f>"23-AFFIDAMENTO DIRETTO"</f>
        <v>23-AFFIDAMENTO DIRETTO</v>
      </c>
      <c r="K1158" t="str">
        <f>"19/04/2021"</f>
        <v>19/04/2021</v>
      </c>
      <c r="L1158" t="str">
        <f>"30/04/2021"</f>
        <v>30/04/2021</v>
      </c>
      <c r="M1158" t="str">
        <f>""</f>
        <v/>
      </c>
      <c r="N1158" t="str">
        <f>"Foredil S.r.l. Via E.Fermi, 22 - 35030 Sarmeola di Rubano (PD)"</f>
        <v>Foredil S.r.l. Via E.Fermi, 22 - 35030 Sarmeola di Rubano (PD)</v>
      </c>
      <c r="O1158" t="str">
        <f>"Foredil S.r.l. Via E.Fermi, 22 - 35030 Sarmeola di Rubano (PD)"</f>
        <v>Foredil S.r.l. Via E.Fermi, 22 - 35030 Sarmeola di Rubano (PD)</v>
      </c>
      <c r="P1158" t="str">
        <f>"ZBC3168F25: [577.80€ ]"</f>
        <v>ZBC3168F25: [577.80€ ]</v>
      </c>
      <c r="Q1158" t="str">
        <f>""</f>
        <v/>
      </c>
      <c r="R1158" t="str">
        <f>""</f>
        <v/>
      </c>
      <c r="S1158" t="str">
        <f>""</f>
        <v/>
      </c>
      <c r="T1158" t="str">
        <f>"https://portaletrasparenza.consorziobacchiglione.it/dettagli/attodigara/6814/noleggio-miniescavatore-volvo-ecr-88d-per-lavori-presso-scolo-brentella.html"</f>
        <v>https://portaletrasparenza.consorziobacchiglione.it/dettagli/attodigara/6814/noleggio-miniescavatore-volvo-ecr-88d-per-lavori-presso-scolo-brentella.html</v>
      </c>
      <c r="U1158" t="str">
        <f>"https://portaletrasparenza.consorziobacchiglione.it/download/attodigara/6814/63ac4581166cc.PDF"</f>
        <v>https://portaletrasparenza.consorziobacchiglione.it/download/attodigara/6814/63ac4581166cc.PDF</v>
      </c>
      <c r="V1158">
        <f>(SUBSTITUTE(Tabella1[[#This Row],[Importo di aggiudicazione]],".",","))-(SUBSTITUTE(  SUBSTITUTE(          SUBSTITUTE(Tabella1[[#This Row],[Dettaglio somme liquidate]],Tabella1[[#This Row],[CIG]]&amp;": [",""),"€ ]",""),".",","))</f>
        <v>144.45000000000005</v>
      </c>
    </row>
    <row r="1159" spans="1:22" x14ac:dyDescent="0.3">
      <c r="A1159" t="str">
        <f>"Affidamento"</f>
        <v>Affidamento</v>
      </c>
      <c r="B1159" t="str">
        <f>"Manutenzione e riparazione mezzo con targa: AJR631"</f>
        <v>Manutenzione e riparazione mezzo con targa: AJR631</v>
      </c>
      <c r="C1159" t="str">
        <f>"Z8631CAD1B"</f>
        <v>Z8631CAD1B</v>
      </c>
      <c r="D1159" t="str">
        <f>"19/05/2021"</f>
        <v>19/05/2021</v>
      </c>
      <c r="E1159" t="str">
        <f>""</f>
        <v/>
      </c>
      <c r="F1159" t="str">
        <f>""</f>
        <v/>
      </c>
      <c r="G1159" t="str">
        <f>"5926.75"</f>
        <v>5926.75</v>
      </c>
      <c r="H1159" t="str">
        <f>"Consorzio di bonifica Bacchiglione"</f>
        <v>Consorzio di bonifica Bacchiglione</v>
      </c>
      <c r="I1159" t="str">
        <f>"92223390284"</f>
        <v>92223390284</v>
      </c>
      <c r="J1159" t="str">
        <f>"23-AFFIDAMENTO DIRETTO"</f>
        <v>23-AFFIDAMENTO DIRETTO</v>
      </c>
      <c r="K1159" t="str">
        <f>"19/05/2021"</f>
        <v>19/05/2021</v>
      </c>
      <c r="L1159" t="str">
        <f>"31/05/2021"</f>
        <v>31/05/2021</v>
      </c>
      <c r="M1159" t="str">
        <f>""</f>
        <v/>
      </c>
      <c r="N1159" t="str">
        <f>"Negrisolo Officina Meccanica s.a.s. V.le delle Industrie II° strada 13 35025 Cagnola di Cartura PD"</f>
        <v>Negrisolo Officina Meccanica s.a.s. V.le delle Industrie II° strada 13 35025 Cagnola di Cartura PD</v>
      </c>
      <c r="O1159" t="str">
        <f>"Negrisolo Officina Meccanica s.a.s. V.le delle Industrie II° strada 13 35025 Cagnola di Cartura PD"</f>
        <v>Negrisolo Officina Meccanica s.a.s. V.le delle Industrie II° strada 13 35025 Cagnola di Cartura PD</v>
      </c>
      <c r="P1159" t="str">
        <f>"Z8631CAD1B: [5926.75€ ]"</f>
        <v>Z8631CAD1B: [5926.75€ ]</v>
      </c>
      <c r="Q1159" t="str">
        <f>""</f>
        <v/>
      </c>
      <c r="R1159" t="str">
        <f>""</f>
        <v/>
      </c>
      <c r="S1159" t="str">
        <f>""</f>
        <v/>
      </c>
      <c r="T1159" t="str">
        <f>"https://portaletrasparenza.consorziobacchiglione.it/dettagli/attodigara/6887/manutenzione-e-riparazione-mezzo-con-targa-ajr631.html"</f>
        <v>https://portaletrasparenza.consorziobacchiglione.it/dettagli/attodigara/6887/manutenzione-e-riparazione-mezzo-con-targa-ajr631.html</v>
      </c>
      <c r="U1159" t="str">
        <f>"https://portaletrasparenza.consorziobacchiglione.it/download/attodigara/6887/63ac458d6f449.PDF"</f>
        <v>https://portaletrasparenza.consorziobacchiglione.it/download/attodigara/6887/63ac458d6f449.PDF</v>
      </c>
      <c r="V115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60" spans="1:22" x14ac:dyDescent="0.3">
      <c r="A1160" t="str">
        <f>"Affidamento"</f>
        <v>Affidamento</v>
      </c>
      <c r="B1160" t="str">
        <f>"Manutenzione e riparazione mezzi targati: AGK711"</f>
        <v>Manutenzione e riparazione mezzi targati: AGK711</v>
      </c>
      <c r="C1160" t="str">
        <f>"Z5231CBC81"</f>
        <v>Z5231CBC81</v>
      </c>
      <c r="D1160" t="str">
        <f>"20/05/2021"</f>
        <v>20/05/2021</v>
      </c>
      <c r="E1160" t="str">
        <f>""</f>
        <v/>
      </c>
      <c r="F1160" t="str">
        <f>""</f>
        <v/>
      </c>
      <c r="G1160" t="str">
        <f>"1866.47"</f>
        <v>1866.47</v>
      </c>
      <c r="H1160" t="str">
        <f>"Consorzio di bonifica Bacchiglione"</f>
        <v>Consorzio di bonifica Bacchiglione</v>
      </c>
      <c r="I1160" t="str">
        <f>"92223390284"</f>
        <v>92223390284</v>
      </c>
      <c r="J1160" t="str">
        <f>"23-AFFIDAMENTO DIRETTO"</f>
        <v>23-AFFIDAMENTO DIRETTO</v>
      </c>
      <c r="K1160" t="str">
        <f>"19/05/2021"</f>
        <v>19/05/2021</v>
      </c>
      <c r="L1160" t="str">
        <f>"04/06/2021"</f>
        <v>04/06/2021</v>
      </c>
      <c r="M1160" t="str">
        <f>""</f>
        <v/>
      </c>
      <c r="N1160" t="str">
        <f>"Adriatica Commerciale Macchine s.r.l. Via dell'Artigianato 5 35020 Due Carrare PD"</f>
        <v>Adriatica Commerciale Macchine s.r.l. Via dell'Artigianato 5 35020 Due Carrare PD</v>
      </c>
      <c r="O1160" t="str">
        <f>"Adriatica Commerciale Macchine s.r.l. Via dell'Artigianato 5 35020 Due Carrare PD"</f>
        <v>Adriatica Commerciale Macchine s.r.l. Via dell'Artigianato 5 35020 Due Carrare PD</v>
      </c>
      <c r="P1160" t="str">
        <f>"Z5231CBC81: [1866.47€ ]"</f>
        <v>Z5231CBC81: [1866.47€ ]</v>
      </c>
      <c r="Q1160" t="str">
        <f>""</f>
        <v/>
      </c>
      <c r="R1160" t="str">
        <f>""</f>
        <v/>
      </c>
      <c r="S1160" t="str">
        <f>""</f>
        <v/>
      </c>
      <c r="T1160" t="str">
        <f>"https://portaletrasparenza.consorziobacchiglione.it/dettagli/attodigara/6889/manutenzione-e-riparazione-mezzi-targati-agk711.html"</f>
        <v>https://portaletrasparenza.consorziobacchiglione.it/dettagli/attodigara/6889/manutenzione-e-riparazione-mezzi-targati-agk711.html</v>
      </c>
      <c r="U1160" t="str">
        <f>"https://portaletrasparenza.consorziobacchiglione.it/download/attodigara/6889/63ac458de03a8.PDF"</f>
        <v>https://portaletrasparenza.consorziobacchiglione.it/download/attodigara/6889/63ac458de03a8.PDF</v>
      </c>
      <c r="V11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61" spans="1:22" x14ac:dyDescent="0.3">
      <c r="A1161" t="str">
        <f>"Affidamento"</f>
        <v>Affidamento</v>
      </c>
      <c r="B1161" t="str">
        <f>"Controllo periodico annuale gru su carroponte presso impianti consorziali."</f>
        <v>Controllo periodico annuale gru su carroponte presso impianti consorziali.</v>
      </c>
      <c r="C1161" t="str">
        <f>"Z4431CBE9D"</f>
        <v>Z4431CBE9D</v>
      </c>
      <c r="D1161" t="str">
        <f>"20/05/2021"</f>
        <v>20/05/2021</v>
      </c>
      <c r="E1161" t="str">
        <f>""</f>
        <v/>
      </c>
      <c r="F1161" t="str">
        <f>""</f>
        <v/>
      </c>
      <c r="G1161" t="str">
        <f>"3300.00"</f>
        <v>3300.00</v>
      </c>
      <c r="H1161" t="str">
        <f>"Consorzio di bonifica Bacchiglione"</f>
        <v>Consorzio di bonifica Bacchiglione</v>
      </c>
      <c r="I1161" t="str">
        <f>"92223390284"</f>
        <v>92223390284</v>
      </c>
      <c r="J1161" t="str">
        <f>"23-AFFIDAMENTO DIRETTO"</f>
        <v>23-AFFIDAMENTO DIRETTO</v>
      </c>
      <c r="K1161" t="str">
        <f>"19/05/2021"</f>
        <v>19/05/2021</v>
      </c>
      <c r="L1161" t="str">
        <f>"20/07/2021"</f>
        <v>20/07/2021</v>
      </c>
      <c r="M1161" t="str">
        <f>""</f>
        <v/>
      </c>
      <c r="N1161" t="str">
        <f>"OMIS SERVICE s.r.l. via Chizzalunga, 8 - 36066 Sandrigo (VI)"</f>
        <v>OMIS SERVICE s.r.l. via Chizzalunga, 8 - 36066 Sandrigo (VI)</v>
      </c>
      <c r="O1161" t="str">
        <f>"OMIS SERVICE s.r.l. via Chizzalunga, 8 - 36066 Sandrigo (VI)"</f>
        <v>OMIS SERVICE s.r.l. via Chizzalunga, 8 - 36066 Sandrigo (VI)</v>
      </c>
      <c r="P1161" t="str">
        <f>"Z4431CBE9D: [2775.60€ ]"</f>
        <v>Z4431CBE9D: [2775.60€ ]</v>
      </c>
      <c r="Q1161" t="str">
        <f>""</f>
        <v/>
      </c>
      <c r="R1161" t="str">
        <f>""</f>
        <v/>
      </c>
      <c r="S1161" t="str">
        <f>""</f>
        <v/>
      </c>
      <c r="T1161" t="str">
        <f>"https://portaletrasparenza.consorziobacchiglione.it/dettagli/attodigara/6890/controllo-periodico-annuale-gru-su-carroponte-presso-impianti-consorziali.html"</f>
        <v>https://portaletrasparenza.consorziobacchiglione.it/dettagli/attodigara/6890/controllo-periodico-annuale-gru-su-carroponte-presso-impianti-consorziali.html</v>
      </c>
      <c r="U1161" t="str">
        <f>"https://portaletrasparenza.consorziobacchiglione.it/download/attodigara/6890/63ac458e24acb.PDF"</f>
        <v>https://portaletrasparenza.consorziobacchiglione.it/download/attodigara/6890/63ac458e24acb.PDF</v>
      </c>
      <c r="V1161">
        <f>(SUBSTITUTE(Tabella1[[#This Row],[Importo di aggiudicazione]],".",","))-(SUBSTITUTE(  SUBSTITUTE(          SUBSTITUTE(Tabella1[[#This Row],[Dettaglio somme liquidate]],Tabella1[[#This Row],[CIG]]&amp;": [",""),"€ ]",""),".",","))</f>
        <v>524.40000000000009</v>
      </c>
    </row>
    <row r="1162" spans="1:22" x14ac:dyDescent="0.3">
      <c r="A1162" t="str">
        <f>"Affidamento"</f>
        <v>Affidamento</v>
      </c>
      <c r="B1162" t="str">
        <f>"Verifiche semestrale dell'impianto di protezione Catodica per il tratto di tubazione in acciaio DN 800 e tratto di tubazione DN 1200 con anodi in magnesio con DV a corrente impressa presso canale Leb sito a Saccolongo"</f>
        <v>Verifiche semestrale dell'impianto di protezione Catodica per il tratto di tubazione in acciaio DN 800 e tratto di tubazione DN 1200 con anodi in magnesio con DV a corrente impressa presso canale Leb sito a Saccolongo</v>
      </c>
      <c r="C1162" t="str">
        <f>"Z3F31CB471"</f>
        <v>Z3F31CB471</v>
      </c>
      <c r="D1162" t="str">
        <f>"20/05/2021"</f>
        <v>20/05/2021</v>
      </c>
      <c r="E1162" t="str">
        <f>""</f>
        <v/>
      </c>
      <c r="F1162" t="str">
        <f>""</f>
        <v/>
      </c>
      <c r="G1162" t="str">
        <f>"1300.00"</f>
        <v>1300.00</v>
      </c>
      <c r="H1162" t="str">
        <f>"Consorzio di bonifica Bacchiglione"</f>
        <v>Consorzio di bonifica Bacchiglione</v>
      </c>
      <c r="I1162" t="str">
        <f>"92223390284"</f>
        <v>92223390284</v>
      </c>
      <c r="J1162" t="str">
        <f>"23-AFFIDAMENTO DIRETTO"</f>
        <v>23-AFFIDAMENTO DIRETTO</v>
      </c>
      <c r="K1162" t="str">
        <f>"19/05/2021"</f>
        <v>19/05/2021</v>
      </c>
      <c r="L1162" t="str">
        <f>"09/12/2021"</f>
        <v>09/12/2021</v>
      </c>
      <c r="M1162" t="str">
        <f>""</f>
        <v/>
      </c>
      <c r="N1162" t="str">
        <f>"Procor S.r.l. Piazza Belluno, 4 - 40139 Bologna (BO)"</f>
        <v>Procor S.r.l. Piazza Belluno, 4 - 40139 Bologna (BO)</v>
      </c>
      <c r="O1162" t="str">
        <f>"Procor S.r.l. Piazza Belluno, 4 - 40139 Bologna (BO)"</f>
        <v>Procor S.r.l. Piazza Belluno, 4 - 40139 Bologna (BO)</v>
      </c>
      <c r="P1162" t="str">
        <f>"Z3F31CB471: [650.00€ ]"</f>
        <v>Z3F31CB471: [650.00€ ]</v>
      </c>
      <c r="Q1162" t="str">
        <f>""</f>
        <v/>
      </c>
      <c r="R1162" t="str">
        <f>""</f>
        <v/>
      </c>
      <c r="S1162" t="str">
        <f>""</f>
        <v/>
      </c>
      <c r="T1162" t="s">
        <v>102</v>
      </c>
      <c r="U1162" t="str">
        <f>"https://portaletrasparenza.consorziobacchiglione.it/download/attodigara/6888/63ac458da7bd9.PDF"</f>
        <v>https://portaletrasparenza.consorziobacchiglione.it/download/attodigara/6888/63ac458da7bd9.PDF</v>
      </c>
      <c r="V1162">
        <f>(SUBSTITUTE(Tabella1[[#This Row],[Importo di aggiudicazione]],".",","))-(SUBSTITUTE(  SUBSTITUTE(          SUBSTITUTE(Tabella1[[#This Row],[Dettaglio somme liquidate]],Tabella1[[#This Row],[CIG]]&amp;": [",""),"€ ]",""),".",","))</f>
        <v>650</v>
      </c>
    </row>
    <row r="1163" spans="1:22" x14ac:dyDescent="0.3">
      <c r="A1163" t="str">
        <f>"Affidamento"</f>
        <v>Affidamento</v>
      </c>
      <c r="B1163" t="str">
        <f>"ID 018-12 - Noventana 2 -Fornitura e consegna presso l impianto idrovoro di n.2 cassoni a tenuta stagna del volume utile di 17mc per la raccolta del materiale galleggiante recuperato dallo sgrigliatore - Processo ID 018-"</f>
        <v>ID 018-12 - Noventana 2 -Fornitura e consegna presso l impianto idrovoro di n.2 cassoni a tenuta stagna del volume utile di 17mc per la raccolta del materiale galleggiante recuperato dallo sgrigliatore - Processo ID 018-</v>
      </c>
      <c r="C1163" t="str">
        <f>"ZB83282075"</f>
        <v>ZB83282075</v>
      </c>
      <c r="D1163" t="str">
        <f>"19/07/2021"</f>
        <v>19/07/2021</v>
      </c>
      <c r="E1163" t="str">
        <f>""</f>
        <v/>
      </c>
      <c r="F1163" t="str">
        <f>""</f>
        <v/>
      </c>
      <c r="G1163" t="str">
        <f>"9400.00"</f>
        <v>9400.00</v>
      </c>
      <c r="H1163" t="str">
        <f>"Consorzio di bonifica Bacchiglione"</f>
        <v>Consorzio di bonifica Bacchiglione</v>
      </c>
      <c r="I1163" t="str">
        <f>"92223390284"</f>
        <v>92223390284</v>
      </c>
      <c r="J1163" t="str">
        <f>"23-AFFIDAMENTO DIRETTO"</f>
        <v>23-AFFIDAMENTO DIRETTO</v>
      </c>
      <c r="K1163" t="str">
        <f>"19/07/2021"</f>
        <v>19/07/2021</v>
      </c>
      <c r="L1163" t="str">
        <f>"09/11/2021"</f>
        <v>09/11/2021</v>
      </c>
      <c r="M1163" t="str">
        <f>""</f>
        <v/>
      </c>
      <c r="N1163" t="str">
        <f>"CARNOVALI S.P.A. Container e Compattatori"</f>
        <v>CARNOVALI S.P.A. Container e Compattatori</v>
      </c>
      <c r="O1163" t="str">
        <f>"CARNOVALI S.P.A. Container e Compattatori"</f>
        <v>CARNOVALI S.P.A. Container e Compattatori</v>
      </c>
      <c r="P1163" t="s">
        <v>170</v>
      </c>
      <c r="Q1163" t="str">
        <f>""</f>
        <v/>
      </c>
      <c r="R1163" t="str">
        <f>""</f>
        <v/>
      </c>
      <c r="S1163" t="str">
        <f>""</f>
        <v/>
      </c>
      <c r="T1163" t="s">
        <v>94</v>
      </c>
      <c r="U1163" t="str">
        <f>"https://portaletrasparenza.consorziobacchiglione.it/download/attodigara/7011/63ac45a59bf83.PDF"</f>
        <v>https://portaletrasparenza.consorziobacchiglione.it/download/attodigara/7011/63ac45a59bf83.PDF</v>
      </c>
      <c r="V11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64" spans="1:22" x14ac:dyDescent="0.3">
      <c r="A1164" t="str">
        <f>"Affidamento"</f>
        <v>Affidamento</v>
      </c>
      <c r="B1164" t="str">
        <f>"Redazione Progetto Esecutivo ed elaborati integrativi ambientali. - Processo ID 009-08."</f>
        <v>Redazione Progetto Esecutivo ed elaborati integrativi ambientali. - Processo ID 009-08.</v>
      </c>
      <c r="C1164" t="str">
        <f>"Z6032CB0FD"</f>
        <v>Z6032CB0FD</v>
      </c>
      <c r="D1164" t="str">
        <f>"19/08/2021"</f>
        <v>19/08/2021</v>
      </c>
      <c r="E1164" t="str">
        <f>""</f>
        <v/>
      </c>
      <c r="F1164" t="str">
        <f>""</f>
        <v/>
      </c>
      <c r="G1164" t="str">
        <f>"12480.00"</f>
        <v>12480.00</v>
      </c>
      <c r="H1164" t="str">
        <f>"Consorzio di bonifica Bacchiglione"</f>
        <v>Consorzio di bonifica Bacchiglione</v>
      </c>
      <c r="I1164" t="str">
        <f>"92223390284"</f>
        <v>92223390284</v>
      </c>
      <c r="J1164" t="str">
        <f>"23-AFFIDAMENTO DIRETTO"</f>
        <v>23-AFFIDAMENTO DIRETTO</v>
      </c>
      <c r="K1164" t="str">
        <f>"19/08/2021"</f>
        <v>19/08/2021</v>
      </c>
      <c r="L1164" t="str">
        <f>"02/11/2022"</f>
        <v>02/11/2022</v>
      </c>
      <c r="M1164" t="str">
        <f>""</f>
        <v/>
      </c>
      <c r="N1164" t="str">
        <f>"Ingegneria 2P E Associati S.r.l."</f>
        <v>Ingegneria 2P E Associati S.r.l.</v>
      </c>
      <c r="O1164" t="str">
        <f>"Ingegneria 2P E Associati S.r.l."</f>
        <v>Ingegneria 2P E Associati S.r.l.</v>
      </c>
      <c r="P1164" t="str">
        <f>"Z6032CB0FD: [12480.00€ ]"</f>
        <v>Z6032CB0FD: [12480.00€ ]</v>
      </c>
      <c r="Q1164" t="str">
        <f>""</f>
        <v/>
      </c>
      <c r="R1164" t="str">
        <f>""</f>
        <v/>
      </c>
      <c r="S1164" t="str">
        <f>""</f>
        <v/>
      </c>
      <c r="T1164" t="str">
        <f>"https://portaletrasparenza.consorziobacchiglione.it/dettagli/attodigara/7077/redazione-progetto-esecutivo-ed-elaborati-integrativi-ambientali-processo-id-009-08.html"</f>
        <v>https://portaletrasparenza.consorziobacchiglione.it/dettagli/attodigara/7077/redazione-progetto-esecutivo-ed-elaborati-integrativi-ambientali-processo-id-009-08.html</v>
      </c>
      <c r="U1164" t="str">
        <f>"https://portaletrasparenza.consorziobacchiglione.it/download/attodigara/7077/63ac45b67e67b.PDF"</f>
        <v>https://portaletrasparenza.consorziobacchiglione.it/download/attodigara/7077/63ac45b67e67b.PDF</v>
      </c>
      <c r="V11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65" spans="1:22" x14ac:dyDescent="0.3">
      <c r="A1165" t="str">
        <f>"Affidamento"</f>
        <v>Affidamento</v>
      </c>
      <c r="B1165" t="str">
        <f>"Fornitura materiale di ferramenta per C.O.S.Margherita."</f>
        <v>Fornitura materiale di ferramenta per C.O.S.Margherita.</v>
      </c>
      <c r="C1165" t="str">
        <f>"ZCC1B3A284"</f>
        <v>ZCC1B3A284</v>
      </c>
      <c r="D1165" t="str">
        <f>"04/11/2021"</f>
        <v>04/11/2021</v>
      </c>
      <c r="E1165" t="str">
        <f>""</f>
        <v/>
      </c>
      <c r="F1165" t="str">
        <f>""</f>
        <v/>
      </c>
      <c r="G1165" t="str">
        <f>"1310.47"</f>
        <v>1310.47</v>
      </c>
      <c r="H1165" t="str">
        <f>"Consorzio di bonifica Bacchiglione"</f>
        <v>Consorzio di bonifica Bacchiglione</v>
      </c>
      <c r="I1165" t="str">
        <f>"92223390284"</f>
        <v>92223390284</v>
      </c>
      <c r="J1165" t="str">
        <f>"23-AFFIDAMENTO DIRETTO"</f>
        <v>23-AFFIDAMENTO DIRETTO</v>
      </c>
      <c r="K1165" t="str">
        <f>"19/09/2021"</f>
        <v>19/09/2021</v>
      </c>
      <c r="L1165" t="str">
        <f>"27/10/2021"</f>
        <v>27/10/2021</v>
      </c>
      <c r="M1165" t="str">
        <f>""</f>
        <v/>
      </c>
      <c r="N1165" t="str">
        <f>"Gollo Giovanni Via Vallona 65 35020 Conche di Codevigo PD"</f>
        <v>Gollo Giovanni Via Vallona 65 35020 Conche di Codevigo PD</v>
      </c>
      <c r="O1165" t="str">
        <f>"Gollo Giovanni Via Vallona 65 35020 Conche di Codevigo PD"</f>
        <v>Gollo Giovanni Via Vallona 65 35020 Conche di Codevigo PD</v>
      </c>
      <c r="P1165" t="s">
        <v>337</v>
      </c>
      <c r="Q1165" t="str">
        <f>""</f>
        <v/>
      </c>
      <c r="R1165" t="str">
        <f>""</f>
        <v/>
      </c>
      <c r="S1165" t="str">
        <f>""</f>
        <v/>
      </c>
      <c r="T1165" t="str">
        <f>"https://portaletrasparenza.consorziobacchiglione.it/dettagli/attodigara/747/fornitura-materiale-di-ferramenta-per-c-o-s-margherita.html"</f>
        <v>https://portaletrasparenza.consorziobacchiglione.it/dettagli/attodigara/747/fornitura-materiale-di-ferramenta-per-c-o-s-margherita.html</v>
      </c>
      <c r="U1165" t="str">
        <f>""</f>
        <v/>
      </c>
      <c r="V11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66" spans="1:22" x14ac:dyDescent="0.3">
      <c r="A1166" t="str">
        <f>"Affidamento"</f>
        <v>Affidamento</v>
      </c>
      <c r="B1166" t="str">
        <f>"Miglioramento del deflusso delle acque al nodo idraulico dei Vasi di Bojon"</f>
        <v>Miglioramento del deflusso delle acque al nodo idraulico dei Vasi di Bojon</v>
      </c>
      <c r="C1166" t="str">
        <f>"6631464934"</f>
        <v>6631464934</v>
      </c>
      <c r="D1166" t="str">
        <f>"04/11/2021"</f>
        <v>04/11/2021</v>
      </c>
      <c r="E1166" t="str">
        <f>""</f>
        <v/>
      </c>
      <c r="F1166" t="str">
        <f>""</f>
        <v/>
      </c>
      <c r="G1166" t="str">
        <f>"242269.19"</f>
        <v>242269.19</v>
      </c>
      <c r="H1166" t="str">
        <f>"Consorzio di bonifica Bacchiglione"</f>
        <v>Consorzio di bonifica Bacchiglione</v>
      </c>
      <c r="I1166" t="str">
        <f>"92223390284"</f>
        <v>92223390284</v>
      </c>
      <c r="J1166" t="str">
        <f>"04-PROCEDURA NEGOZIATA SENZA PREVIA PUBBLICAZIONE"</f>
        <v>04-PROCEDURA NEGOZIATA SENZA PREVIA PUBBLICAZIONE</v>
      </c>
      <c r="K1166" t="str">
        <f>"19/09/2021"</f>
        <v>19/09/2021</v>
      </c>
      <c r="L1166" t="str">
        <f>"29/12/2021"</f>
        <v>29/12/2021</v>
      </c>
      <c r="M1166" t="str">
        <f>""</f>
        <v/>
      </c>
      <c r="N1166" t="s">
        <v>67</v>
      </c>
      <c r="O1166" t="str">
        <f>"LOCAPAL SRL"</f>
        <v>LOCAPAL SRL</v>
      </c>
      <c r="P1166" t="str">
        <f>"6631464934: [242268.81€ ]"</f>
        <v>6631464934: [242268.81€ ]</v>
      </c>
      <c r="Q1166" t="str">
        <f>""</f>
        <v/>
      </c>
      <c r="R1166" t="str">
        <f>""</f>
        <v/>
      </c>
      <c r="S1166" t="str">
        <f>""</f>
        <v/>
      </c>
      <c r="T1166" t="str">
        <f>"https://portaletrasparenza.consorziobacchiglione.it/dettagli/attodigara/15/miglioramento-del-deflusso-delle-acque-al-nodo-idraulico-dei-vasi-di-bojon.html"</f>
        <v>https://portaletrasparenza.consorziobacchiglione.it/dettagli/attodigara/15/miglioramento-del-deflusso-delle-acque-al-nodo-idraulico-dei-vasi-di-bojon.html</v>
      </c>
      <c r="U1166" t="str">
        <f>""</f>
        <v/>
      </c>
      <c r="V1166">
        <f>(SUBSTITUTE(Tabella1[[#This Row],[Importo di aggiudicazione]],".",","))-(SUBSTITUTE(  SUBSTITUTE(          SUBSTITUTE(Tabella1[[#This Row],[Dettaglio somme liquidate]],Tabella1[[#This Row],[CIG]]&amp;": [",""),"€ ]",""),".",","))</f>
        <v>0.38000000000465661</v>
      </c>
    </row>
    <row r="1167" spans="1:22" x14ac:dyDescent="0.3">
      <c r="A1167" t="str">
        <f>"Affidamento"</f>
        <v>Affidamento</v>
      </c>
      <c r="B1167" t="str">
        <f>"Fornitura ricambi per lame barra falciante e decespugliatore presso bacino Sesta Presa e Pratiarcati"</f>
        <v>Fornitura ricambi per lame barra falciante e decespugliatore presso bacino Sesta Presa e Pratiarcati</v>
      </c>
      <c r="C1167" t="str">
        <f>"Z81338655F"</f>
        <v>Z81338655F</v>
      </c>
      <c r="D1167" t="str">
        <f>"21/10/2021"</f>
        <v>21/10/2021</v>
      </c>
      <c r="E1167" t="str">
        <f>""</f>
        <v/>
      </c>
      <c r="F1167" t="str">
        <f>""</f>
        <v/>
      </c>
      <c r="G1167" t="str">
        <f>"738.99"</f>
        <v>738.99</v>
      </c>
      <c r="H1167" t="str">
        <f>"Consorzio di bonifica Bacchiglione"</f>
        <v>Consorzio di bonifica Bacchiglione</v>
      </c>
      <c r="I1167" t="str">
        <f>"92223390284"</f>
        <v>92223390284</v>
      </c>
      <c r="J1167" t="str">
        <f>"23-AFFIDAMENTO DIRETTO"</f>
        <v>23-AFFIDAMENTO DIRETTO</v>
      </c>
      <c r="K1167" t="str">
        <f>"19/10/2021"</f>
        <v>19/10/2021</v>
      </c>
      <c r="L1167" t="str">
        <f>"21/10/2021"</f>
        <v>21/10/2021</v>
      </c>
      <c r="M1167" t="str">
        <f>""</f>
        <v/>
      </c>
      <c r="N1167" t="str">
        <f>"Eredi di Stivanello Sergio S.a.s. Via Padova 156 35025 Cartura PD"</f>
        <v>Eredi di Stivanello Sergio S.a.s. Via Padova 156 35025 Cartura PD</v>
      </c>
      <c r="O1167" t="str">
        <f>"Eredi di Stivanello Sergio S.a.s. Via Padova 156 35025 Cartura PD"</f>
        <v>Eredi di Stivanello Sergio S.a.s. Via Padova 156 35025 Cartura PD</v>
      </c>
      <c r="P1167" t="s">
        <v>251</v>
      </c>
      <c r="Q1167" t="str">
        <f>""</f>
        <v/>
      </c>
      <c r="R1167" t="str">
        <f>""</f>
        <v/>
      </c>
      <c r="S1167" t="str">
        <f>""</f>
        <v/>
      </c>
      <c r="T1167" t="str">
        <f>"https://portaletrasparenza.consorziobacchiglione.it/dettagli/attodigara/7221/fornitura-ricambi-per-lame-barra-falciante-e-decespugliatore-presso-bacino-sesta-presa-e-pratiarcati.html"</f>
        <v>https://portaletrasparenza.consorziobacchiglione.it/dettagli/attodigara/7221/fornitura-ricambi-per-lame-barra-falciante-e-decespugliatore-presso-bacino-sesta-presa-e-pratiarcati.html</v>
      </c>
      <c r="U1167" t="str">
        <f>"https://portaletrasparenza.consorziobacchiglione.it/download/attodigara/7221/63ac45dcf1ab1.PDF"</f>
        <v>https://portaletrasparenza.consorziobacchiglione.it/download/attodigara/7221/63ac45dcf1ab1.PDF</v>
      </c>
      <c r="V116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68" spans="1:22" x14ac:dyDescent="0.3">
      <c r="A1168" t="str">
        <f>"Affidamento"</f>
        <v>Affidamento</v>
      </c>
      <c r="B1168" t="str">
        <f>"Manutenzione e riparazione mezzi targati: AJ205BM, AJR631, AHH573"</f>
        <v>Manutenzione e riparazione mezzi targati: AJ205BM, AJR631, AHH573</v>
      </c>
      <c r="C1168" t="str">
        <f>"ZCD34051DB"</f>
        <v>ZCD34051DB</v>
      </c>
      <c r="D1168" t="str">
        <f>"23/11/2021"</f>
        <v>23/11/2021</v>
      </c>
      <c r="E1168" t="str">
        <f>""</f>
        <v/>
      </c>
      <c r="F1168" t="str">
        <f>""</f>
        <v/>
      </c>
      <c r="G1168" t="str">
        <f>"843.39"</f>
        <v>843.39</v>
      </c>
      <c r="H1168" t="str">
        <f>"Consorzio di bonifica Bacchiglione"</f>
        <v>Consorzio di bonifica Bacchiglione</v>
      </c>
      <c r="I1168" t="str">
        <f>"92223390284"</f>
        <v>92223390284</v>
      </c>
      <c r="J1168" t="str">
        <f>"23-AFFIDAMENTO DIRETTO"</f>
        <v>23-AFFIDAMENTO DIRETTO</v>
      </c>
      <c r="K1168" t="str">
        <f>"19/11/2021"</f>
        <v>19/11/2021</v>
      </c>
      <c r="L1168" t="str">
        <f>"17/12/2021"</f>
        <v>17/12/2021</v>
      </c>
      <c r="M1168" t="str">
        <f>""</f>
        <v/>
      </c>
      <c r="N1168" t="str">
        <f>"Negrisolo Officina Meccanica s.a.s. V.le delle Industrie II° strada 13 35025 Cagnola di Cartura PD"</f>
        <v>Negrisolo Officina Meccanica s.a.s. V.le delle Industrie II° strada 13 35025 Cagnola di Cartura PD</v>
      </c>
      <c r="O1168" t="str">
        <f>"Negrisolo Officina Meccanica s.a.s. V.le delle Industrie II° strada 13 35025 Cagnola di Cartura PD"</f>
        <v>Negrisolo Officina Meccanica s.a.s. V.le delle Industrie II° strada 13 35025 Cagnola di Cartura PD</v>
      </c>
      <c r="P1168" t="s">
        <v>245</v>
      </c>
      <c r="Q1168" t="str">
        <f>""</f>
        <v/>
      </c>
      <c r="R1168" t="str">
        <f>""</f>
        <v/>
      </c>
      <c r="S1168" t="str">
        <f>""</f>
        <v/>
      </c>
      <c r="T1168" t="str">
        <f>"https://portaletrasparenza.consorziobacchiglione.it/dettagli/attodigara/7295/manutenzione-e-riparazione-mezzi-targati-aj205bm-ajr631-ahh573.html"</f>
        <v>https://portaletrasparenza.consorziobacchiglione.it/dettagli/attodigara/7295/manutenzione-e-riparazione-mezzi-targati-aj205bm-ajr631-ahh573.html</v>
      </c>
      <c r="U1168" t="str">
        <f>"https://portaletrasparenza.consorziobacchiglione.it/download/attodigara/7295/63ac45ecb642e.PDF"</f>
        <v>https://portaletrasparenza.consorziobacchiglione.it/download/attodigara/7295/63ac45ecb642e.PDF</v>
      </c>
      <c r="V11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69" spans="1:22" x14ac:dyDescent="0.3">
      <c r="A1169" t="str">
        <f>"Affidamento"</f>
        <v>Affidamento</v>
      </c>
      <c r="B1169" t="str">
        <f>"Manutenzione e riparazione motopompa Varisco MP1 presso C.O.Pratiarcati"</f>
        <v>Manutenzione e riparazione motopompa Varisco MP1 presso C.O.Pratiarcati</v>
      </c>
      <c r="C1169" t="str">
        <f>"ZE334053DD"</f>
        <v>ZE334053DD</v>
      </c>
      <c r="D1169" t="str">
        <f>"23/11/2021"</f>
        <v>23/11/2021</v>
      </c>
      <c r="E1169" t="str">
        <f>""</f>
        <v/>
      </c>
      <c r="F1169" t="str">
        <f>""</f>
        <v/>
      </c>
      <c r="G1169" t="str">
        <f>"107.75"</f>
        <v>107.75</v>
      </c>
      <c r="H1169" t="str">
        <f>"Consorzio di bonifica Bacchiglione"</f>
        <v>Consorzio di bonifica Bacchiglione</v>
      </c>
      <c r="I1169" t="str">
        <f>"92223390284"</f>
        <v>92223390284</v>
      </c>
      <c r="J1169" t="str">
        <f>"23-AFFIDAMENTO DIRETTO"</f>
        <v>23-AFFIDAMENTO DIRETTO</v>
      </c>
      <c r="K1169" t="str">
        <f>"19/11/2021"</f>
        <v>19/11/2021</v>
      </c>
      <c r="L1169" t="str">
        <f>"17/12/2021"</f>
        <v>17/12/2021</v>
      </c>
      <c r="M1169" t="str">
        <f>""</f>
        <v/>
      </c>
      <c r="N1169" t="str">
        <f>"Negrisolo Officina Meccanica s.a.s. V.le delle Industrie II° strada 13 35025 Cagnola di Cartura PD"</f>
        <v>Negrisolo Officina Meccanica s.a.s. V.le delle Industrie II° strada 13 35025 Cagnola di Cartura PD</v>
      </c>
      <c r="O1169" t="str">
        <f>"Negrisolo Officina Meccanica s.a.s. V.le delle Industrie II° strada 13 35025 Cagnola di Cartura PD"</f>
        <v>Negrisolo Officina Meccanica s.a.s. V.le delle Industrie II° strada 13 35025 Cagnola di Cartura PD</v>
      </c>
      <c r="P1169" t="s">
        <v>319</v>
      </c>
      <c r="Q1169" t="str">
        <f>""</f>
        <v/>
      </c>
      <c r="R1169" t="str">
        <f>""</f>
        <v/>
      </c>
      <c r="S1169" t="str">
        <f>""</f>
        <v/>
      </c>
      <c r="T1169" t="str">
        <f>"https://portaletrasparenza.consorziobacchiglione.it/dettagli/attodigara/7296/manutenzione-e-riparazione-motopompa-varisco-mp1-presso-c-o-pratiarcati.html"</f>
        <v>https://portaletrasparenza.consorziobacchiglione.it/dettagli/attodigara/7296/manutenzione-e-riparazione-motopompa-varisco-mp1-presso-c-o-pratiarcati.html</v>
      </c>
      <c r="U1169" t="str">
        <f>"https://portaletrasparenza.consorziobacchiglione.it/download/attodigara/7296/63ac45ecef242.PDF"</f>
        <v>https://portaletrasparenza.consorziobacchiglione.it/download/attodigara/7296/63ac45ecef242.PDF</v>
      </c>
      <c r="V116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70" spans="1:22" x14ac:dyDescent="0.3">
      <c r="A1170" t="str">
        <f>"Affidamento"</f>
        <v>Affidamento</v>
      </c>
      <c r="B1170" t="str">
        <f>"Manutenzione e riparazione mezzo targato: FN454KT"</f>
        <v>Manutenzione e riparazione mezzo targato: FN454KT</v>
      </c>
      <c r="C1170" t="str">
        <f>"Z4134041B1"</f>
        <v>Z4134041B1</v>
      </c>
      <c r="D1170" t="str">
        <f>"23/11/2021"</f>
        <v>23/11/2021</v>
      </c>
      <c r="E1170" t="str">
        <f>""</f>
        <v/>
      </c>
      <c r="F1170" t="str">
        <f>""</f>
        <v/>
      </c>
      <c r="G1170" t="str">
        <f>"327.00"</f>
        <v>327.00</v>
      </c>
      <c r="H1170" t="str">
        <f>"Consorzio di bonifica Bacchiglione"</f>
        <v>Consorzio di bonifica Bacchiglione</v>
      </c>
      <c r="I1170" t="str">
        <f>"92223390284"</f>
        <v>92223390284</v>
      </c>
      <c r="J1170" t="str">
        <f>"23-AFFIDAMENTO DIRETTO"</f>
        <v>23-AFFIDAMENTO DIRETTO</v>
      </c>
      <c r="K1170" t="str">
        <f>"19/11/2021"</f>
        <v>19/11/2021</v>
      </c>
      <c r="L1170" t="str">
        <f>"30/11/2021"</f>
        <v>30/11/2021</v>
      </c>
      <c r="M1170" t="str">
        <f>""</f>
        <v/>
      </c>
      <c r="N1170" t="str">
        <f>"Autofficina Gobbato Gianluca via Vivaldi 40A 35028 Piove di sacco PD"</f>
        <v>Autofficina Gobbato Gianluca via Vivaldi 40A 35028 Piove di sacco PD</v>
      </c>
      <c r="O1170" t="str">
        <f>"Autofficina Gobbato Gianluca via Vivaldi 40A 35028 Piove di sacco PD"</f>
        <v>Autofficina Gobbato Gianluca via Vivaldi 40A 35028 Piove di sacco PD</v>
      </c>
      <c r="P1170" t="str">
        <f>"Z4134041B1: [327.00€ ]"</f>
        <v>Z4134041B1: [327.00€ ]</v>
      </c>
      <c r="Q1170" t="str">
        <f>""</f>
        <v/>
      </c>
      <c r="R1170" t="str">
        <f>""</f>
        <v/>
      </c>
      <c r="S1170" t="str">
        <f>""</f>
        <v/>
      </c>
      <c r="T1170" t="str">
        <f>"https://portaletrasparenza.consorziobacchiglione.it/dettagli/attodigara/7294/manutenzione-e-riparazione-mezzo-targato-fn454kt.html"</f>
        <v>https://portaletrasparenza.consorziobacchiglione.it/dettagli/attodigara/7294/manutenzione-e-riparazione-mezzo-targato-fn454kt.html</v>
      </c>
      <c r="U1170" t="str">
        <f>"https://portaletrasparenza.consorziobacchiglione.it/download/attodigara/7294/63ac45ec7d61d.PDF"</f>
        <v>https://portaletrasparenza.consorziobacchiglione.it/download/attodigara/7294/63ac45ec7d61d.PDF</v>
      </c>
      <c r="V117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71" spans="1:22" x14ac:dyDescent="0.3">
      <c r="A1171" t="str">
        <f>"Affidamento"</f>
        <v>Affidamento</v>
      </c>
      <c r="B1171" t="str">
        <f>"Sostituzione n.8 pneumatici del mezzo targato: AKA712"</f>
        <v>Sostituzione n.8 pneumatici del mezzo targato: AKA712</v>
      </c>
      <c r="C1171" t="str">
        <f>"Z443405A08"</f>
        <v>Z443405A08</v>
      </c>
      <c r="D1171" t="str">
        <f>"30/11/2021"</f>
        <v>30/11/2021</v>
      </c>
      <c r="E1171" t="str">
        <f>""</f>
        <v/>
      </c>
      <c r="F1171" t="str">
        <f>""</f>
        <v/>
      </c>
      <c r="G1171" t="str">
        <f>"3747.10"</f>
        <v>3747.10</v>
      </c>
      <c r="H1171" t="str">
        <f>"Consorzio di bonifica Bacchiglione"</f>
        <v>Consorzio di bonifica Bacchiglione</v>
      </c>
      <c r="I1171" t="str">
        <f>"92223390284"</f>
        <v>92223390284</v>
      </c>
      <c r="J1171" t="str">
        <f>"23-AFFIDAMENTO DIRETTO"</f>
        <v>23-AFFIDAMENTO DIRETTO</v>
      </c>
      <c r="K1171" t="str">
        <f>"19/11/2021"</f>
        <v>19/11/2021</v>
      </c>
      <c r="L1171" t="str">
        <f>"24/12/2021"</f>
        <v>24/12/2021</v>
      </c>
      <c r="M1171" t="str">
        <f>""</f>
        <v/>
      </c>
      <c r="N1171" t="str">
        <f>"Ri.gom.ma S.R.L. Via Orlando, 47 - 30173 Campalto (VE)"</f>
        <v>Ri.gom.ma S.R.L. Via Orlando, 47 - 30173 Campalto (VE)</v>
      </c>
      <c r="O1171" t="str">
        <f>"Ri.gom.ma S.R.L. Via Orlando, 47 - 30173 Campalto (VE)"</f>
        <v>Ri.gom.ma S.R.L. Via Orlando, 47 - 30173 Campalto (VE)</v>
      </c>
      <c r="P1171" t="s">
        <v>198</v>
      </c>
      <c r="Q1171" t="str">
        <f>""</f>
        <v/>
      </c>
      <c r="R1171" t="str">
        <f>""</f>
        <v/>
      </c>
      <c r="S1171" t="str">
        <f>""</f>
        <v/>
      </c>
      <c r="T1171" t="str">
        <f>"https://portaletrasparenza.consorziobacchiglione.it/dettagli/attodigara/7297/sostituzione-n-8-pneumatici-del-mezzo-targato-aka712.html"</f>
        <v>https://portaletrasparenza.consorziobacchiglione.it/dettagli/attodigara/7297/sostituzione-n-8-pneumatici-del-mezzo-targato-aka712.html</v>
      </c>
      <c r="U1171" t="str">
        <f>"https://portaletrasparenza.consorziobacchiglione.it/download/attodigara/7297/63ac45f2a397c.PDF"</f>
        <v>https://portaletrasparenza.consorziobacchiglione.it/download/attodigara/7297/63ac45f2a397c.PDF</v>
      </c>
      <c r="V117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72" spans="1:22" x14ac:dyDescent="0.3">
      <c r="A1172" t="str">
        <f>"Affidamento"</f>
        <v>Affidamento</v>
      </c>
      <c r="B1172" t="str">
        <f>"Fornitura Router Avanzato Draytek Vigor 3900 4 Wan per nuovo server Catasto"</f>
        <v>Fornitura Router Avanzato Draytek Vigor 3900 4 Wan per nuovo server Catasto</v>
      </c>
      <c r="C1172" t="str">
        <f>"Z501C97DF7"</f>
        <v>Z501C97DF7</v>
      </c>
      <c r="D1172" t="str">
        <f>"04/11/2021"</f>
        <v>04/11/2021</v>
      </c>
      <c r="E1172" t="str">
        <f>""</f>
        <v/>
      </c>
      <c r="F1172" t="str">
        <f>""</f>
        <v/>
      </c>
      <c r="G1172" t="str">
        <f>"1094.10"</f>
        <v>1094.10</v>
      </c>
      <c r="H1172" t="str">
        <f>"Consorzio di bonifica Bacchiglione"</f>
        <v>Consorzio di bonifica Bacchiglione</v>
      </c>
      <c r="I1172" t="str">
        <f>"92223390284"</f>
        <v>92223390284</v>
      </c>
      <c r="J1172" t="str">
        <f>"23-AFFIDAMENTO DIRETTO"</f>
        <v>23-AFFIDAMENTO DIRETTO</v>
      </c>
      <c r="K1172" t="str">
        <f>"19/12/2021"</f>
        <v>19/12/2021</v>
      </c>
      <c r="L1172" t="str">
        <f>"02/02/2021"</f>
        <v>02/02/2021</v>
      </c>
      <c r="M1172" t="str">
        <f>""</f>
        <v/>
      </c>
      <c r="N1172" t="str">
        <f>"TPH Elettronica s.a.s. Via N. Pizzolo 51A 35132 Padova"</f>
        <v>TPH Elettronica s.a.s. Via N. Pizzolo 51A 35132 Padova</v>
      </c>
      <c r="O1172" t="str">
        <f>"TPH Elettronica s.a.s. Via N. Pizzolo 51A 35132 Padova"</f>
        <v>TPH Elettronica s.a.s. Via N. Pizzolo 51A 35132 Padova</v>
      </c>
      <c r="P1172" t="s">
        <v>364</v>
      </c>
      <c r="Q1172" t="str">
        <f>""</f>
        <v/>
      </c>
      <c r="R1172" t="str">
        <f>""</f>
        <v/>
      </c>
      <c r="S1172" t="str">
        <f>""</f>
        <v/>
      </c>
      <c r="T1172" t="str">
        <f>"https://portaletrasparenza.consorziobacchiglione.it/dettagli/attodigara/1010/fornitura-router-avanzato-draytek-vigor-3900-4-wan-per-nuovo-server-catasto.html"</f>
        <v>https://portaletrasparenza.consorziobacchiglione.it/dettagli/attodigara/1010/fornitura-router-avanzato-draytek-vigor-3900-4-wan-per-nuovo-server-catasto.html</v>
      </c>
      <c r="U1172" t="str">
        <f>""</f>
        <v/>
      </c>
      <c r="V117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73" spans="1:22" x14ac:dyDescent="0.3">
      <c r="A1173" t="str">
        <f>"Affidamento"</f>
        <v>Affidamento</v>
      </c>
      <c r="B1173" t="str">
        <f>"Fornitura Motore elettrico trifase KW 15,6 poli B5 per Idrovora Marinelle"</f>
        <v>Fornitura Motore elettrico trifase KW 15,6 poli B5 per Idrovora Marinelle</v>
      </c>
      <c r="C1173" t="str">
        <f>"Z241C98D8F"</f>
        <v>Z241C98D8F</v>
      </c>
      <c r="D1173" t="str">
        <f>"04/11/2021"</f>
        <v>04/11/2021</v>
      </c>
      <c r="E1173" t="str">
        <f>""</f>
        <v/>
      </c>
      <c r="F1173" t="str">
        <f>""</f>
        <v/>
      </c>
      <c r="G1173" t="str">
        <f>"1311.00"</f>
        <v>1311.00</v>
      </c>
      <c r="H1173" t="str">
        <f>"Consorzio di bonifica Bacchiglione"</f>
        <v>Consorzio di bonifica Bacchiglione</v>
      </c>
      <c r="I1173" t="str">
        <f>"92223390284"</f>
        <v>92223390284</v>
      </c>
      <c r="J1173" t="str">
        <f>"23-AFFIDAMENTO DIRETTO"</f>
        <v>23-AFFIDAMENTO DIRETTO</v>
      </c>
      <c r="K1173" t="str">
        <f>"19/12/2021"</f>
        <v>19/12/2021</v>
      </c>
      <c r="L1173" t="str">
        <f>"31/01/2021"</f>
        <v>31/01/2021</v>
      </c>
      <c r="M1173" t="str">
        <f>""</f>
        <v/>
      </c>
      <c r="N1173" t="str">
        <f>"Scarpa Sergio Elettromeccanica S.n.c. di Scarpa Paola E C. Via A. Vivaldi 7 35028 Piove di Sacco PD | Dimel s.a.s. di Donado Luca e C. Via Unità d'Italia 12 35020 Brugine PD | M.V.R. Motori Ventilatori Ridotturi SPA"</f>
        <v>Scarpa Sergio Elettromeccanica S.n.c. di Scarpa Paola E C. Via A. Vivaldi 7 35028 Piove di Sacco PD | Dimel s.a.s. di Donado Luca e C. Via Unità d'Italia 12 35020 Brugine PD | M.V.R. Motori Ventilatori Ridotturi SPA</v>
      </c>
      <c r="O1173" t="str">
        <f>"M.V.R. Motori Ventilatori Ridotturi SPA"</f>
        <v>M.V.R. Motori Ventilatori Ridotturi SPA</v>
      </c>
      <c r="P1173" t="str">
        <f>"Z241C98D8F: [1311.00€ ]"</f>
        <v>Z241C98D8F: [1311.00€ ]</v>
      </c>
      <c r="Q1173" t="str">
        <f>""</f>
        <v/>
      </c>
      <c r="R1173" t="str">
        <f>""</f>
        <v/>
      </c>
      <c r="S1173" t="str">
        <f>""</f>
        <v/>
      </c>
      <c r="T1173" t="str">
        <f>"https://portaletrasparenza.consorziobacchiglione.it/dettagli/attodigara/1014/fornitura-motore-elettrico-trifase-kw-15-6-poli-b5-per-idrovora-marinelle.html"</f>
        <v>https://portaletrasparenza.consorziobacchiglione.it/dettagli/attodigara/1014/fornitura-motore-elettrico-trifase-kw-15-6-poli-b5-per-idrovora-marinelle.html</v>
      </c>
      <c r="U1173" t="str">
        <f>""</f>
        <v/>
      </c>
      <c r="V117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74" spans="1:22" x14ac:dyDescent="0.3">
      <c r="A1174" t="str">
        <f>"Affidamento"</f>
        <v>Affidamento</v>
      </c>
      <c r="B1174" t="str">
        <f>"Manutenzione inverter pompa n 1-2-3-4 Idrovora Voltabarozzo"</f>
        <v>Manutenzione inverter pompa n 1-2-3-4 Idrovora Voltabarozzo</v>
      </c>
      <c r="C1174" t="str">
        <f>"ZD21C98979"</f>
        <v>ZD21C98979</v>
      </c>
      <c r="D1174" t="str">
        <f>"04/11/2021"</f>
        <v>04/11/2021</v>
      </c>
      <c r="E1174" t="str">
        <f>""</f>
        <v/>
      </c>
      <c r="F1174" t="str">
        <f>""</f>
        <v/>
      </c>
      <c r="G1174" t="str">
        <f>"6000.00"</f>
        <v>6000.00</v>
      </c>
      <c r="H1174" t="str">
        <f>"Consorzio di bonifica Bacchiglione"</f>
        <v>Consorzio di bonifica Bacchiglione</v>
      </c>
      <c r="I1174" t="str">
        <f>"92223390284"</f>
        <v>92223390284</v>
      </c>
      <c r="J1174" t="str">
        <f>"23-AFFIDAMENTO DIRETTO"</f>
        <v>23-AFFIDAMENTO DIRETTO</v>
      </c>
      <c r="K1174" t="str">
        <f>"19/12/2021"</f>
        <v>19/12/2021</v>
      </c>
      <c r="L1174" t="str">
        <f>"24/03/2021"</f>
        <v>24/03/2021</v>
      </c>
      <c r="M1174" t="str">
        <f>""</f>
        <v/>
      </c>
      <c r="N1174" t="str">
        <f>"SCHNEIDER ELECTRIC S.P.A. Via Circonvallazione Est, 1 - 24040 Stezzano (BG)"</f>
        <v>SCHNEIDER ELECTRIC S.P.A. Via Circonvallazione Est, 1 - 24040 Stezzano (BG)</v>
      </c>
      <c r="O1174" t="str">
        <f>"SCHNEIDER ELECTRIC S.P.A. Via Circonvallazione Est, 1 - 24040 Stezzano (BG)"</f>
        <v>SCHNEIDER ELECTRIC S.P.A. Via Circonvallazione Est, 1 - 24040 Stezzano (BG)</v>
      </c>
      <c r="P1174" t="str">
        <f>"ZD21C98979: [6000.00€ ]"</f>
        <v>ZD21C98979: [6000.00€ ]</v>
      </c>
      <c r="Q1174" t="str">
        <f>""</f>
        <v/>
      </c>
      <c r="R1174" t="str">
        <f>""</f>
        <v/>
      </c>
      <c r="S1174" t="str">
        <f>""</f>
        <v/>
      </c>
      <c r="T1174" t="str">
        <f>"https://portaletrasparenza.consorziobacchiglione.it/dettagli/attodigara/1013/manutenzione-inverter-pompa-n-1-2-3-4-idrovora-voltabarozzo.html"</f>
        <v>https://portaletrasparenza.consorziobacchiglione.it/dettagli/attodigara/1013/manutenzione-inverter-pompa-n-1-2-3-4-idrovora-voltabarozzo.html</v>
      </c>
      <c r="U1174" t="str">
        <f>""</f>
        <v/>
      </c>
      <c r="V117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75" spans="1:22" x14ac:dyDescent="0.3">
      <c r="A1175" t="str">
        <f>"Affidamento"</f>
        <v>Affidamento</v>
      </c>
      <c r="B1175" t="str">
        <f>"Lavoro di sostituzione schede su pompa n 1 Idrovora Baldon."</f>
        <v>Lavoro di sostituzione schede su pompa n 1 Idrovora Baldon.</v>
      </c>
      <c r="C1175" t="str">
        <f>"Z1E1C98419"</f>
        <v>Z1E1C98419</v>
      </c>
      <c r="D1175" t="str">
        <f>"04/11/2021"</f>
        <v>04/11/2021</v>
      </c>
      <c r="E1175" t="str">
        <f>""</f>
        <v/>
      </c>
      <c r="F1175" t="str">
        <f>""</f>
        <v/>
      </c>
      <c r="G1175" t="str">
        <f>"6779.00"</f>
        <v>6779.00</v>
      </c>
      <c r="H1175" t="str">
        <f>"Consorzio di bonifica Bacchiglione"</f>
        <v>Consorzio di bonifica Bacchiglione</v>
      </c>
      <c r="I1175" t="str">
        <f>"92223390284"</f>
        <v>92223390284</v>
      </c>
      <c r="J1175" t="str">
        <f>"23-AFFIDAMENTO DIRETTO"</f>
        <v>23-AFFIDAMENTO DIRETTO</v>
      </c>
      <c r="K1175" t="str">
        <f>"19/12/2021"</f>
        <v>19/12/2021</v>
      </c>
      <c r="L1175" t="str">
        <f>"17/02/2021"</f>
        <v>17/02/2021</v>
      </c>
      <c r="M1175" t="str">
        <f>""</f>
        <v/>
      </c>
      <c r="N1175" t="str">
        <f>"Servizi Tecnologici S.r.l.Via Casa Cucchi, 9 - 37024 Negrar di Valpolicella (VR)"</f>
        <v>Servizi Tecnologici S.r.l.Via Casa Cucchi, 9 - 37024 Negrar di Valpolicella (VR)</v>
      </c>
      <c r="O1175" t="str">
        <f>"Servizi Tecnologici S.r.l.Via Casa Cucchi, 9 - 37024 Negrar di Valpolicella (VR)"</f>
        <v>Servizi Tecnologici S.r.l.Via Casa Cucchi, 9 - 37024 Negrar di Valpolicella (VR)</v>
      </c>
      <c r="P1175" t="str">
        <f>"Z1E1C98419: [6779.00€ ]"</f>
        <v>Z1E1C98419: [6779.00€ ]</v>
      </c>
      <c r="Q1175" t="str">
        <f>""</f>
        <v/>
      </c>
      <c r="R1175" t="str">
        <f>""</f>
        <v/>
      </c>
      <c r="S1175" t="str">
        <f>""</f>
        <v/>
      </c>
      <c r="T1175" t="str">
        <f>"https://portaletrasparenza.consorziobacchiglione.it/dettagli/attodigara/1012/lavoro-di-sostituzione-schede-su-pompa-n-1-idrovora-baldon.html"</f>
        <v>https://portaletrasparenza.consorziobacchiglione.it/dettagli/attodigara/1012/lavoro-di-sostituzione-schede-su-pompa-n-1-idrovora-baldon.html</v>
      </c>
      <c r="U1175" t="str">
        <f>""</f>
        <v/>
      </c>
      <c r="V117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76" spans="1:22" x14ac:dyDescent="0.3">
      <c r="A1176" t="str">
        <f>"Affidamento"</f>
        <v>Affidamento</v>
      </c>
      <c r="B1176" t="str">
        <f>"Lavaggio mezzo con targa: AKD221"</f>
        <v>Lavaggio mezzo con targa: AKD221</v>
      </c>
      <c r="C1176" t="str">
        <f>"Z3E1C981F0"</f>
        <v>Z3E1C981F0</v>
      </c>
      <c r="D1176" t="str">
        <f>"04/11/2021"</f>
        <v>04/11/2021</v>
      </c>
      <c r="E1176" t="str">
        <f>""</f>
        <v/>
      </c>
      <c r="F1176" t="str">
        <f>""</f>
        <v/>
      </c>
      <c r="G1176" t="str">
        <f>"200.00"</f>
        <v>200.00</v>
      </c>
      <c r="H1176" t="str">
        <f>"Consorzio di bonifica Bacchiglione"</f>
        <v>Consorzio di bonifica Bacchiglione</v>
      </c>
      <c r="I1176" t="str">
        <f>"92223390284"</f>
        <v>92223390284</v>
      </c>
      <c r="J1176" t="str">
        <f>"23-AFFIDAMENTO DIRETTO"</f>
        <v>23-AFFIDAMENTO DIRETTO</v>
      </c>
      <c r="K1176" t="str">
        <f>"19/12/2021"</f>
        <v>19/12/2021</v>
      </c>
      <c r="L1176" t="str">
        <f>"30/12/2021"</f>
        <v>30/12/2021</v>
      </c>
      <c r="M1176" t="str">
        <f>""</f>
        <v/>
      </c>
      <c r="N1176" t="str">
        <f>"Officina Biesse S.n.c. Via Matteotti 24 35020 Arzergrande PD"</f>
        <v>Officina Biesse S.n.c. Via Matteotti 24 35020 Arzergrande PD</v>
      </c>
      <c r="O1176" t="str">
        <f>"Officina Biesse S.n.c. Via Matteotti 24 35020 Arzergrande PD"</f>
        <v>Officina Biesse S.n.c. Via Matteotti 24 35020 Arzergrande PD</v>
      </c>
      <c r="P1176" t="str">
        <f>"Z3E1C981F0: [200.00€ ]"</f>
        <v>Z3E1C981F0: [200.00€ ]</v>
      </c>
      <c r="Q1176" t="str">
        <f>""</f>
        <v/>
      </c>
      <c r="R1176" t="str">
        <f>""</f>
        <v/>
      </c>
      <c r="S1176" t="str">
        <f>""</f>
        <v/>
      </c>
      <c r="T1176" t="str">
        <f>"https://portaletrasparenza.consorziobacchiglione.it/dettagli/attodigara/1011/lavaggio-mezzo-con-targa-akd221.html"</f>
        <v>https://portaletrasparenza.consorziobacchiglione.it/dettagli/attodigara/1011/lavaggio-mezzo-con-targa-akd221.html</v>
      </c>
      <c r="U1176" t="str">
        <f>""</f>
        <v/>
      </c>
      <c r="V117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77" spans="1:22" x14ac:dyDescent="0.3">
      <c r="A1177" t="str">
        <f>"Affidamento"</f>
        <v>Affidamento</v>
      </c>
      <c r="B1177" t="str">
        <f>"Lavoro per alzare barra luci posteriore su mezzo con targa. AKD221"</f>
        <v>Lavoro per alzare barra luci posteriore su mezzo con targa. AKD221</v>
      </c>
      <c r="C1177" t="str">
        <f>"Z8D1C977DB"</f>
        <v>Z8D1C977DB</v>
      </c>
      <c r="D1177" t="str">
        <f>"04/11/2021"</f>
        <v>04/11/2021</v>
      </c>
      <c r="E1177" t="str">
        <f>""</f>
        <v/>
      </c>
      <c r="F1177" t="str">
        <f>""</f>
        <v/>
      </c>
      <c r="G1177" t="str">
        <f>"400.00"</f>
        <v>400.00</v>
      </c>
      <c r="H1177" t="str">
        <f>"Consorzio di bonifica Bacchiglione"</f>
        <v>Consorzio di bonifica Bacchiglione</v>
      </c>
      <c r="I1177" t="str">
        <f>"92223390284"</f>
        <v>92223390284</v>
      </c>
      <c r="J1177" t="str">
        <f>"23-AFFIDAMENTO DIRETTO"</f>
        <v>23-AFFIDAMENTO DIRETTO</v>
      </c>
      <c r="K1177" t="str">
        <f>"19/12/2021"</f>
        <v>19/12/2021</v>
      </c>
      <c r="L1177" t="str">
        <f>"31/01/2021"</f>
        <v>31/01/2021</v>
      </c>
      <c r="M1177" t="str">
        <f>""</f>
        <v/>
      </c>
      <c r="N1177" t="str">
        <f>"Agristop SAS di Gaiani Annalisa E C. Via Antoniana 35011 Campodarsego PD"</f>
        <v>Agristop SAS di Gaiani Annalisa E C. Via Antoniana 35011 Campodarsego PD</v>
      </c>
      <c r="O1177" t="str">
        <f>"Agristop SAS di Gaiani Annalisa E C. Via Antoniana 35011 Campodarsego PD"</f>
        <v>Agristop SAS di Gaiani Annalisa E C. Via Antoniana 35011 Campodarsego PD</v>
      </c>
      <c r="P1177" t="str">
        <f>"Z8D1C977DB: [400.00€ ]"</f>
        <v>Z8D1C977DB: [400.00€ ]</v>
      </c>
      <c r="Q1177" t="str">
        <f>""</f>
        <v/>
      </c>
      <c r="R1177" t="str">
        <f>""</f>
        <v/>
      </c>
      <c r="S1177" t="str">
        <f>""</f>
        <v/>
      </c>
      <c r="T1177" t="str">
        <f>"https://portaletrasparenza.consorziobacchiglione.it/dettagli/attodigara/1009/lavoro-per-alzare-barra-luci-posteriore-su-mezzo-con-targa-akd221.html"</f>
        <v>https://portaletrasparenza.consorziobacchiglione.it/dettagli/attodigara/1009/lavoro-per-alzare-barra-luci-posteriore-su-mezzo-con-targa-akd221.html</v>
      </c>
      <c r="U1177" t="str">
        <f>""</f>
        <v/>
      </c>
      <c r="V11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78" spans="1:22" x14ac:dyDescent="0.3">
      <c r="A1178" t="str">
        <f>"Affidamento"</f>
        <v>Affidamento</v>
      </c>
      <c r="B1178" t="str">
        <f>"Affidamento servizio di ristorazione per convegno del 20 dicembre 2016. Presentazione al pubblico dei risultati del progetto di valorizzazione del patrimonio materiale e immateriale dei Consorzi di bonifica del Veneto."</f>
        <v>Affidamento servizio di ristorazione per convegno del 20 dicembre 2016. Presentazione al pubblico dei risultati del progetto di valorizzazione del patrimonio materiale e immateriale dei Consorzi di bonifica del Veneto.</v>
      </c>
      <c r="C1178" t="str">
        <f>"Z101C991F9"</f>
        <v>Z101C991F9</v>
      </c>
      <c r="D1178" t="str">
        <f>"04/11/2021"</f>
        <v>04/11/2021</v>
      </c>
      <c r="E1178" t="str">
        <f>""</f>
        <v/>
      </c>
      <c r="F1178" t="str">
        <f>""</f>
        <v/>
      </c>
      <c r="G1178" t="str">
        <f>"790.00"</f>
        <v>790.00</v>
      </c>
      <c r="H1178" t="str">
        <f>"Consorzio di bonifica Bacchiglione"</f>
        <v>Consorzio di bonifica Bacchiglione</v>
      </c>
      <c r="I1178" t="str">
        <f>"92223390284"</f>
        <v>92223390284</v>
      </c>
      <c r="J1178" t="str">
        <f>"23-AFFIDAMENTO DIRETTO"</f>
        <v>23-AFFIDAMENTO DIRETTO</v>
      </c>
      <c r="K1178" t="str">
        <f>"19/12/2021"</f>
        <v>19/12/2021</v>
      </c>
      <c r="L1178" t="str">
        <f>"20/12/2021"</f>
        <v>20/12/2021</v>
      </c>
      <c r="M1178" t="str">
        <f>""</f>
        <v/>
      </c>
      <c r="N1178" t="str">
        <f>"PASTICCERIA MAZZARI S.N.C."</f>
        <v>PASTICCERIA MAZZARI S.N.C.</v>
      </c>
      <c r="O1178" t="str">
        <f>"PASTICCERIA MAZZARI S.N.C."</f>
        <v>PASTICCERIA MAZZARI S.N.C.</v>
      </c>
      <c r="P1178" t="str">
        <f>"Z101C991F9: [632.00€ ]"</f>
        <v>Z101C991F9: [632.00€ ]</v>
      </c>
      <c r="Q1178" t="str">
        <f>""</f>
        <v/>
      </c>
      <c r="R1178" t="str">
        <f>""</f>
        <v/>
      </c>
      <c r="S1178" t="str">
        <f>""</f>
        <v/>
      </c>
      <c r="T1178" t="s">
        <v>36</v>
      </c>
      <c r="U1178" t="str">
        <f>""</f>
        <v/>
      </c>
      <c r="V1178">
        <f>(SUBSTITUTE(Tabella1[[#This Row],[Importo di aggiudicazione]],".",","))-(SUBSTITUTE(  SUBSTITUTE(          SUBSTITUTE(Tabella1[[#This Row],[Dettaglio somme liquidate]],Tabella1[[#This Row],[CIG]]&amp;": [",""),"€ ]",""),".",","))</f>
        <v>158</v>
      </c>
    </row>
    <row r="1179" spans="1:22" x14ac:dyDescent="0.3">
      <c r="A1179" t="str">
        <f>"Affidamento"</f>
        <v>Affidamento</v>
      </c>
      <c r="B1179" t="str">
        <f>"Fornitura materiale edile per Idrovora Vaso Cavaizze."</f>
        <v>Fornitura materiale edile per Idrovora Vaso Cavaizze.</v>
      </c>
      <c r="C1179" t="str">
        <f>"Z88181BC4A"</f>
        <v>Z88181BC4A</v>
      </c>
      <c r="D1179" t="str">
        <f>"04/11/2021"</f>
        <v>04/11/2021</v>
      </c>
      <c r="E1179" t="str">
        <f>""</f>
        <v/>
      </c>
      <c r="F1179" t="str">
        <f>""</f>
        <v/>
      </c>
      <c r="G1179" t="str">
        <f>"279.46"</f>
        <v>279.46</v>
      </c>
      <c r="H1179" t="str">
        <f>"Consorzio di bonifica Bacchiglione"</f>
        <v>Consorzio di bonifica Bacchiglione</v>
      </c>
      <c r="I1179" t="str">
        <f>"92223390284"</f>
        <v>92223390284</v>
      </c>
      <c r="J1179" t="str">
        <f>"23-AFFIDAMENTO DIRETTO"</f>
        <v>23-AFFIDAMENTO DIRETTO</v>
      </c>
      <c r="K1179" t="str">
        <f>"20/01/2021"</f>
        <v>20/01/2021</v>
      </c>
      <c r="L1179" t="str">
        <f>"02/02/2021"</f>
        <v>02/02/2021</v>
      </c>
      <c r="M1179" t="str">
        <f>""</f>
        <v/>
      </c>
      <c r="N1179" t="str">
        <f>"Zagolin Giovanni s.r.l. Via Gelsi 56 35028 Piove di Sacco PD"</f>
        <v>Zagolin Giovanni s.r.l. Via Gelsi 56 35028 Piove di Sacco PD</v>
      </c>
      <c r="O1179" t="str">
        <f>"Zagolin Giovanni s.r.l. Via Gelsi 56 35028 Piove di Sacco PD"</f>
        <v>Zagolin Giovanni s.r.l. Via Gelsi 56 35028 Piove di Sacco PD</v>
      </c>
      <c r="P1179" t="str">
        <f>"Z88181BC4A: [279.46€ ]"</f>
        <v>Z88181BC4A: [279.46€ ]</v>
      </c>
      <c r="Q1179" t="str">
        <f>""</f>
        <v/>
      </c>
      <c r="R1179" t="str">
        <f>""</f>
        <v/>
      </c>
      <c r="S1179" t="str">
        <f>""</f>
        <v/>
      </c>
      <c r="T1179" t="str">
        <f>"https://portaletrasparenza.consorziobacchiglione.it/dettagli/attodigara/83/fornitura-materiale-edile-per-idrovora-vaso-cavaizze.html"</f>
        <v>https://portaletrasparenza.consorziobacchiglione.it/dettagli/attodigara/83/fornitura-materiale-edile-per-idrovora-vaso-cavaizze.html</v>
      </c>
      <c r="U1179" t="str">
        <f>""</f>
        <v/>
      </c>
      <c r="V11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80" spans="1:22" x14ac:dyDescent="0.3">
      <c r="A1180" t="str">
        <f>"Affidamento"</f>
        <v>Affidamento</v>
      </c>
      <c r="B1180" t="str">
        <f>"Fornitura 5.000 lt di gasolio autotrazione Artico per C.O. Bovolenta."</f>
        <v>Fornitura 5.000 lt di gasolio autotrazione Artico per C.O. Bovolenta.</v>
      </c>
      <c r="C1180" t="str">
        <f>"Z32181B9B3"</f>
        <v>Z32181B9B3</v>
      </c>
      <c r="D1180" t="str">
        <f>"04/11/2021"</f>
        <v>04/11/2021</v>
      </c>
      <c r="E1180" t="str">
        <f>""</f>
        <v/>
      </c>
      <c r="F1180" t="str">
        <f>""</f>
        <v/>
      </c>
      <c r="G1180" t="str">
        <f>"4651.64"</f>
        <v>4651.64</v>
      </c>
      <c r="H1180" t="str">
        <f>"Consorzio di bonifica Bacchiglione"</f>
        <v>Consorzio di bonifica Bacchiglione</v>
      </c>
      <c r="I1180" t="str">
        <f>"92223390284"</f>
        <v>92223390284</v>
      </c>
      <c r="J1180" t="str">
        <f>"23-AFFIDAMENTO DIRETTO"</f>
        <v>23-AFFIDAMENTO DIRETTO</v>
      </c>
      <c r="K1180" t="str">
        <f>"20/01/2021"</f>
        <v>20/01/2021</v>
      </c>
      <c r="L1180" t="str">
        <f>"12/02/2021"</f>
        <v>12/02/2021</v>
      </c>
      <c r="M1180" t="str">
        <f>""</f>
        <v/>
      </c>
      <c r="N1180" t="str">
        <f>"Berica Carburanti S.r.l. Via Dante 35-A Ponte di Barbarano VI"</f>
        <v>Berica Carburanti S.r.l. Via Dante 35-A Ponte di Barbarano VI</v>
      </c>
      <c r="O1180" t="str">
        <f>"Berica Carburanti S.r.l. Via Dante 35-A Ponte di Barbarano VI"</f>
        <v>Berica Carburanti S.r.l. Via Dante 35-A Ponte di Barbarano VI</v>
      </c>
      <c r="P1180" t="str">
        <f>"Z32181B9B3: [4651.64€ ]"</f>
        <v>Z32181B9B3: [4651.64€ ]</v>
      </c>
      <c r="Q1180" t="str">
        <f>""</f>
        <v/>
      </c>
      <c r="R1180" t="str">
        <f>""</f>
        <v/>
      </c>
      <c r="S1180" t="str">
        <f>""</f>
        <v/>
      </c>
      <c r="T1180" t="str">
        <f>"https://portaletrasparenza.consorziobacchiglione.it/dettagli/attodigara/82/fornitura-5-000-lt-di-gasolio-autotrazione-artico-per-c-o-bovolenta.html"</f>
        <v>https://portaletrasparenza.consorziobacchiglione.it/dettagli/attodigara/82/fornitura-5-000-lt-di-gasolio-autotrazione-artico-per-c-o-bovolenta.html</v>
      </c>
      <c r="U1180" t="str">
        <f>""</f>
        <v/>
      </c>
      <c r="V118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81" spans="1:22" x14ac:dyDescent="0.3">
      <c r="A1181" t="str">
        <f>"Affidamento"</f>
        <v>Affidamento</v>
      </c>
      <c r="B1181" t="str">
        <f>"Servizi di ispezione ipotecaria, registrazione e trascrizione decreto. - Processo ID 015-12."</f>
        <v>Servizi di ispezione ipotecaria, registrazione e trascrizione decreto. - Processo ID 015-12.</v>
      </c>
      <c r="C1181" t="str">
        <f>"Z0B181C6B8"</f>
        <v>Z0B181C6B8</v>
      </c>
      <c r="D1181" t="str">
        <f>"04/11/2021"</f>
        <v>04/11/2021</v>
      </c>
      <c r="E1181" t="str">
        <f>""</f>
        <v/>
      </c>
      <c r="F1181" t="str">
        <f>""</f>
        <v/>
      </c>
      <c r="G1181" t="str">
        <f>"261.00"</f>
        <v>261.00</v>
      </c>
      <c r="H1181" t="str">
        <f>"Consorzio di bonifica Bacchiglione"</f>
        <v>Consorzio di bonifica Bacchiglione</v>
      </c>
      <c r="I1181" t="str">
        <f>"92223390284"</f>
        <v>92223390284</v>
      </c>
      <c r="J1181" t="str">
        <f>"23-AFFIDAMENTO DIRETTO"</f>
        <v>23-AFFIDAMENTO DIRETTO</v>
      </c>
      <c r="K1181" t="str">
        <f>"20/01/2021"</f>
        <v>20/01/2021</v>
      </c>
      <c r="L1181" t="str">
        <f>"07/10/2021"</f>
        <v>07/10/2021</v>
      </c>
      <c r="M1181" t="str">
        <f>""</f>
        <v/>
      </c>
      <c r="N1181" t="str">
        <f>"Abano Servizi Amministrativi S.n.c. di Maganza Nadia E Baraldo Michela"</f>
        <v>Abano Servizi Amministrativi S.n.c. di Maganza Nadia E Baraldo Michela</v>
      </c>
      <c r="O1181" t="str">
        <f>"Abano Servizi Amministrativi S.n.c. di Maganza Nadia E Baraldo Michela"</f>
        <v>Abano Servizi Amministrativi S.n.c. di Maganza Nadia E Baraldo Michela</v>
      </c>
      <c r="P1181" t="str">
        <f>"Z0B181C6B8: [119.11€ ]"</f>
        <v>Z0B181C6B8: [119.11€ ]</v>
      </c>
      <c r="Q1181" t="str">
        <f>""</f>
        <v/>
      </c>
      <c r="R1181" t="str">
        <f>""</f>
        <v/>
      </c>
      <c r="S1181" t="str">
        <f>""</f>
        <v/>
      </c>
      <c r="T1181" t="str">
        <f>"https://portaletrasparenza.consorziobacchiglione.it/dettagli/attodigara/81/servizi-di-ispezione-ipotecaria-registrazione-e-trascrizione-decreto-processo-id-015-12.html"</f>
        <v>https://portaletrasparenza.consorziobacchiglione.it/dettagli/attodigara/81/servizi-di-ispezione-ipotecaria-registrazione-e-trascrizione-decreto-processo-id-015-12.html</v>
      </c>
      <c r="U1181" t="str">
        <f>""</f>
        <v/>
      </c>
      <c r="V1181">
        <f>(SUBSTITUTE(Tabella1[[#This Row],[Importo di aggiudicazione]],".",","))-(SUBSTITUTE(  SUBSTITUTE(          SUBSTITUTE(Tabella1[[#This Row],[Dettaglio somme liquidate]],Tabella1[[#This Row],[CIG]]&amp;": [",""),"€ ]",""),".",","))</f>
        <v>141.88999999999999</v>
      </c>
    </row>
    <row r="1182" spans="1:22" x14ac:dyDescent="0.3">
      <c r="A1182" t="str">
        <f>"Affidamento"</f>
        <v>Affidamento</v>
      </c>
      <c r="B1182" t="str">
        <f>"Fornitura materiale vario per l'anno 2021 Bacino Pratiarcati e Montà Portello"</f>
        <v>Fornitura materiale vario per l'anno 2021 Bacino Pratiarcati e Montà Portello</v>
      </c>
      <c r="C1182" t="str">
        <f>"ZC83048182"</f>
        <v>ZC83048182</v>
      </c>
      <c r="D1182" t="str">
        <f>"21/01/2021"</f>
        <v>21/01/2021</v>
      </c>
      <c r="E1182" t="str">
        <f>""</f>
        <v/>
      </c>
      <c r="F1182" t="str">
        <f>""</f>
        <v/>
      </c>
      <c r="G1182" t="str">
        <f>"10000.00"</f>
        <v>10000.00</v>
      </c>
      <c r="H1182" t="str">
        <f>"Consorzio di bonifica Bacchiglione"</f>
        <v>Consorzio di bonifica Bacchiglione</v>
      </c>
      <c r="I1182" t="str">
        <f>"92223390284"</f>
        <v>92223390284</v>
      </c>
      <c r="J1182" t="str">
        <f>"23-AFFIDAMENTO DIRETTO"</f>
        <v>23-AFFIDAMENTO DIRETTO</v>
      </c>
      <c r="K1182" t="str">
        <f>"20/01/2021"</f>
        <v>20/01/2021</v>
      </c>
      <c r="L1182" t="str">
        <f>"31/10/2022"</f>
        <v>31/10/2022</v>
      </c>
      <c r="M1182" t="str">
        <f>""</f>
        <v/>
      </c>
      <c r="N1182" t="str">
        <f>"Erre Emme s.n.c. Via Cavour 27 35020 Casalserugo PD"</f>
        <v>Erre Emme s.n.c. Via Cavour 27 35020 Casalserugo PD</v>
      </c>
      <c r="O1182" t="str">
        <f>"Erre Emme s.n.c. Via Cavour 27 35020 Casalserugo PD"</f>
        <v>Erre Emme s.n.c. Via Cavour 27 35020 Casalserugo PD</v>
      </c>
      <c r="P1182" t="s">
        <v>174</v>
      </c>
      <c r="Q1182" t="str">
        <f>""</f>
        <v/>
      </c>
      <c r="R1182" t="str">
        <f>""</f>
        <v/>
      </c>
      <c r="S1182" t="str">
        <f>""</f>
        <v/>
      </c>
      <c r="T1182" t="str">
        <f>"https://portaletrasparenza.consorziobacchiglione.it/dettagli/attodigara/6563/fornitura-materiale-vario-per-l-anno-2021-bacino-pratiarcati-e-monta-portello.html"</f>
        <v>https://portaletrasparenza.consorziobacchiglione.it/dettagli/attodigara/6563/fornitura-materiale-vario-per-l-anno-2021-bacino-pratiarcati-e-monta-portello.html</v>
      </c>
      <c r="U1182" t="str">
        <f>"https://portaletrasparenza.consorziobacchiglione.it/download/attodigara/6563/63ac454c3c7ad.PDF"</f>
        <v>https://portaletrasparenza.consorziobacchiglione.it/download/attodigara/6563/63ac454c3c7ad.PDF</v>
      </c>
      <c r="V11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83" spans="1:22" x14ac:dyDescent="0.3">
      <c r="A1183" t="str">
        <f>"Affidamento"</f>
        <v>Affidamento</v>
      </c>
      <c r="B1183" t="str">
        <f>"Canone mensile per connessione internet e telefonica Fastweb periodo luglio-dicembre 2016."</f>
        <v>Canone mensile per connessione internet e telefonica Fastweb periodo luglio-dicembre 2016.</v>
      </c>
      <c r="C1183" t="str">
        <f>"ZD81984F2A"</f>
        <v>ZD81984F2A</v>
      </c>
      <c r="D1183" t="str">
        <f>"04/11/2021"</f>
        <v>04/11/2021</v>
      </c>
      <c r="E1183" t="str">
        <f>""</f>
        <v/>
      </c>
      <c r="F1183" t="str">
        <f>""</f>
        <v/>
      </c>
      <c r="G1183" t="str">
        <f>"8100.00"</f>
        <v>8100.00</v>
      </c>
      <c r="H1183" t="str">
        <f>"Consorzio di bonifica Bacchiglione"</f>
        <v>Consorzio di bonifica Bacchiglione</v>
      </c>
      <c r="I1183" t="str">
        <f>"92223390284"</f>
        <v>92223390284</v>
      </c>
      <c r="J1183" t="str">
        <f>"23-AFFIDAMENTO DIRETTO"</f>
        <v>23-AFFIDAMENTO DIRETTO</v>
      </c>
      <c r="K1183" t="str">
        <f>"20/04/2021"</f>
        <v>20/04/2021</v>
      </c>
      <c r="L1183" t="str">
        <f>"30/09/2021"</f>
        <v>30/09/2021</v>
      </c>
      <c r="M1183" t="str">
        <f>""</f>
        <v/>
      </c>
      <c r="N1183" t="str">
        <f>"Fastweb S.P.A. Piazza Adriano Olivetti 1 - 20139 Milano"</f>
        <v>Fastweb S.P.A. Piazza Adriano Olivetti 1 - 20139 Milano</v>
      </c>
      <c r="O1183" t="str">
        <f>"Fastweb S.P.A. Piazza Adriano Olivetti 1 - 20139 Milano"</f>
        <v>Fastweb S.P.A. Piazza Adriano Olivetti 1 - 20139 Milano</v>
      </c>
      <c r="P1183" t="s">
        <v>259</v>
      </c>
      <c r="Q1183" t="str">
        <f>""</f>
        <v/>
      </c>
      <c r="R1183" t="str">
        <f>""</f>
        <v/>
      </c>
      <c r="S1183" t="str">
        <f>""</f>
        <v/>
      </c>
      <c r="T1183" t="str">
        <f>"https://portaletrasparenza.consorziobacchiglione.it/dettagli/attodigara/343/canone-mensile-per-connessione-internet-e-telefonica-fastweb-periodo-luglio-dicembre-2016.html"</f>
        <v>https://portaletrasparenza.consorziobacchiglione.it/dettagli/attodigara/343/canone-mensile-per-connessione-internet-e-telefonica-fastweb-periodo-luglio-dicembre-2016.html</v>
      </c>
      <c r="U1183" t="str">
        <f>""</f>
        <v/>
      </c>
      <c r="V118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84" spans="1:22" x14ac:dyDescent="0.3">
      <c r="A1184" t="str">
        <f>"Affidamento"</f>
        <v>Affidamento</v>
      </c>
      <c r="B1184" t="str">
        <f>"Fornitura detergenti per Idrovora S.Margherita."</f>
        <v>Fornitura detergenti per Idrovora S.Margherita.</v>
      </c>
      <c r="C1184" t="str">
        <f>"Z72198850D"</f>
        <v>Z72198850D</v>
      </c>
      <c r="D1184" t="str">
        <f>"04/11/2021"</f>
        <v>04/11/2021</v>
      </c>
      <c r="E1184" t="str">
        <f>""</f>
        <v/>
      </c>
      <c r="F1184" t="str">
        <f>""</f>
        <v/>
      </c>
      <c r="G1184" t="str">
        <f>"129.60"</f>
        <v>129.60</v>
      </c>
      <c r="H1184" t="str">
        <f>"Consorzio di bonifica Bacchiglione"</f>
        <v>Consorzio di bonifica Bacchiglione</v>
      </c>
      <c r="I1184" t="str">
        <f>"92223390284"</f>
        <v>92223390284</v>
      </c>
      <c r="J1184" t="str">
        <f>"23-AFFIDAMENTO DIRETTO"</f>
        <v>23-AFFIDAMENTO DIRETTO</v>
      </c>
      <c r="K1184" t="str">
        <f>"20/04/2021"</f>
        <v>20/04/2021</v>
      </c>
      <c r="L1184" t="str">
        <f>"05/10/2021"</f>
        <v>05/10/2021</v>
      </c>
      <c r="M1184" t="str">
        <f>""</f>
        <v/>
      </c>
      <c r="N1184" t="str">
        <f>"Puliautomatic srl Via Palladio 10a 35010 Paviola di S.Giorgio in Bosco PD"</f>
        <v>Puliautomatic srl Via Palladio 10a 35010 Paviola di S.Giorgio in Bosco PD</v>
      </c>
      <c r="O1184" t="str">
        <f>"Puliautomatic srl Via Palladio 10a 35010 Paviola di S.Giorgio in Bosco PD"</f>
        <v>Puliautomatic srl Via Palladio 10a 35010 Paviola di S.Giorgio in Bosco PD</v>
      </c>
      <c r="P1184" t="str">
        <f>"Z72198850D: [129.60€ ]"</f>
        <v>Z72198850D: [129.60€ ]</v>
      </c>
      <c r="Q1184" t="str">
        <f>""</f>
        <v/>
      </c>
      <c r="R1184" t="str">
        <f>""</f>
        <v/>
      </c>
      <c r="S1184" t="str">
        <f>""</f>
        <v/>
      </c>
      <c r="T1184" t="str">
        <f>"https://portaletrasparenza.consorziobacchiglione.it/dettagli/attodigara/349/fornitura-detergenti-per-idrovora-s-margherita.html"</f>
        <v>https://portaletrasparenza.consorziobacchiglione.it/dettagli/attodigara/349/fornitura-detergenti-per-idrovora-s-margherita.html</v>
      </c>
      <c r="U1184" t="str">
        <f>""</f>
        <v/>
      </c>
      <c r="V11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85" spans="1:22" x14ac:dyDescent="0.3">
      <c r="A1185" t="str">
        <f>"Affidamento"</f>
        <v>Affidamento</v>
      </c>
      <c r="B1185" t="str">
        <f>"Fornitura calcestruzzo RCK 300 S4 per scolo Pavariane Est."</f>
        <v>Fornitura calcestruzzo RCK 300 S4 per scolo Pavariane Est.</v>
      </c>
      <c r="C1185" t="str">
        <f>"Z85198834F"</f>
        <v>Z85198834F</v>
      </c>
      <c r="D1185" t="str">
        <f>"04/11/2021"</f>
        <v>04/11/2021</v>
      </c>
      <c r="E1185" t="str">
        <f>""</f>
        <v/>
      </c>
      <c r="F1185" t="str">
        <f>""</f>
        <v/>
      </c>
      <c r="G1185" t="str">
        <f>"201.00"</f>
        <v>201.00</v>
      </c>
      <c r="H1185" t="str">
        <f>"Consorzio di bonifica Bacchiglione"</f>
        <v>Consorzio di bonifica Bacchiglione</v>
      </c>
      <c r="I1185" t="str">
        <f>"92223390284"</f>
        <v>92223390284</v>
      </c>
      <c r="J1185" t="str">
        <f>"23-AFFIDAMENTO DIRETTO"</f>
        <v>23-AFFIDAMENTO DIRETTO</v>
      </c>
      <c r="K1185" t="str">
        <f>"20/04/2021"</f>
        <v>20/04/2021</v>
      </c>
      <c r="L1185" t="str">
        <f>"24/10/2021"</f>
        <v>24/10/2021</v>
      </c>
      <c r="M1185" t="str">
        <f>""</f>
        <v/>
      </c>
      <c r="N1185" t="str">
        <f>"Zagolin Giovanni s.r.l. Via Gelsi 56 35028 Piove di Sacco PD"</f>
        <v>Zagolin Giovanni s.r.l. Via Gelsi 56 35028 Piove di Sacco PD</v>
      </c>
      <c r="O1185" t="str">
        <f>"Zagolin Giovanni s.r.l. Via Gelsi 56 35028 Piove di Sacco PD"</f>
        <v>Zagolin Giovanni s.r.l. Via Gelsi 56 35028 Piove di Sacco PD</v>
      </c>
      <c r="P1185" t="str">
        <f>"Z85198834F: [201.00€ ]"</f>
        <v>Z85198834F: [201.00€ ]</v>
      </c>
      <c r="Q1185" t="str">
        <f>""</f>
        <v/>
      </c>
      <c r="R1185" t="str">
        <f>""</f>
        <v/>
      </c>
      <c r="S1185" t="str">
        <f>""</f>
        <v/>
      </c>
      <c r="T1185" t="str">
        <f>"https://portaletrasparenza.consorziobacchiglione.it/dettagli/attodigara/348/fornitura-calcestruzzo-rck-300-s4-per-scolo-pavariane-est.html"</f>
        <v>https://portaletrasparenza.consorziobacchiglione.it/dettagli/attodigara/348/fornitura-calcestruzzo-rck-300-s4-per-scolo-pavariane-est.html</v>
      </c>
      <c r="U1185" t="str">
        <f>""</f>
        <v/>
      </c>
      <c r="V11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86" spans="1:22" x14ac:dyDescent="0.3">
      <c r="A1186" t="str">
        <f>"Affidamento"</f>
        <v>Affidamento</v>
      </c>
      <c r="B1186" t="str">
        <f>"Fornitura di n 1 tanica in ferro per C.O.S.Margherita."</f>
        <v>Fornitura di n 1 tanica in ferro per C.O.S.Margherita.</v>
      </c>
      <c r="C1186" t="str">
        <f>"Z31198823D"</f>
        <v>Z31198823D</v>
      </c>
      <c r="D1186" t="str">
        <f>"04/11/2021"</f>
        <v>04/11/2021</v>
      </c>
      <c r="E1186" t="str">
        <f>""</f>
        <v/>
      </c>
      <c r="F1186" t="str">
        <f>""</f>
        <v/>
      </c>
      <c r="G1186" t="str">
        <f>"26.50"</f>
        <v>26.50</v>
      </c>
      <c r="H1186" t="str">
        <f>"Consorzio di bonifica Bacchiglione"</f>
        <v>Consorzio di bonifica Bacchiglione</v>
      </c>
      <c r="I1186" t="str">
        <f>"92223390284"</f>
        <v>92223390284</v>
      </c>
      <c r="J1186" t="str">
        <f>"23-AFFIDAMENTO DIRETTO"</f>
        <v>23-AFFIDAMENTO DIRETTO</v>
      </c>
      <c r="K1186" t="str">
        <f>"20/04/2021"</f>
        <v>20/04/2021</v>
      </c>
      <c r="L1186" t="str">
        <f>"18/05/2021"</f>
        <v>18/05/2021</v>
      </c>
      <c r="M1186" t="str">
        <f>""</f>
        <v/>
      </c>
      <c r="N1186" t="str">
        <f>"Autoricambi s.n.c. di Mardegan Paolo e Manfron Veronica Via A.Valerio 26-28 Piove di Sacco PD"</f>
        <v>Autoricambi s.n.c. di Mardegan Paolo e Manfron Veronica Via A.Valerio 26-28 Piove di Sacco PD</v>
      </c>
      <c r="O1186" t="str">
        <f>"Autoricambi s.n.c. di Mardegan Paolo e Manfron Veronica Via A.Valerio 26-28 Piove di Sacco PD"</f>
        <v>Autoricambi s.n.c. di Mardegan Paolo e Manfron Veronica Via A.Valerio 26-28 Piove di Sacco PD</v>
      </c>
      <c r="P1186" t="str">
        <f>"Z31198823D: [26.50€ ]"</f>
        <v>Z31198823D: [26.50€ ]</v>
      </c>
      <c r="Q1186" t="str">
        <f>""</f>
        <v/>
      </c>
      <c r="R1186" t="str">
        <f>""</f>
        <v/>
      </c>
      <c r="S1186" t="str">
        <f>""</f>
        <v/>
      </c>
      <c r="T1186" t="str">
        <f>"https://portaletrasparenza.consorziobacchiglione.it/dettagli/attodigara/347/fornitura-di-n-1-tanica-in-ferro-per-c-o-s-margherita.html"</f>
        <v>https://portaletrasparenza.consorziobacchiglione.it/dettagli/attodigara/347/fornitura-di-n-1-tanica-in-ferro-per-c-o-s-margherita.html</v>
      </c>
      <c r="U1186" t="str">
        <f>""</f>
        <v/>
      </c>
      <c r="V118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87" spans="1:22" x14ac:dyDescent="0.3">
      <c r="A1187" t="str">
        <f>"Affidamento"</f>
        <v>Affidamento</v>
      </c>
      <c r="B1187" t="str">
        <f>"Pulizia e spurgo vasca di aspirazione Idrovora Fogolana."</f>
        <v>Pulizia e spurgo vasca di aspirazione Idrovora Fogolana.</v>
      </c>
      <c r="C1187" t="str">
        <f>"Z8B1988101"</f>
        <v>Z8B1988101</v>
      </c>
      <c r="D1187" t="str">
        <f>"04/11/2021"</f>
        <v>04/11/2021</v>
      </c>
      <c r="E1187" t="str">
        <f>""</f>
        <v/>
      </c>
      <c r="F1187" t="str">
        <f>""</f>
        <v/>
      </c>
      <c r="G1187" t="str">
        <f>"720.00"</f>
        <v>720.00</v>
      </c>
      <c r="H1187" t="str">
        <f>"Consorzio di bonifica Bacchiglione"</f>
        <v>Consorzio di bonifica Bacchiglione</v>
      </c>
      <c r="I1187" t="str">
        <f>"92223390284"</f>
        <v>92223390284</v>
      </c>
      <c r="J1187" t="str">
        <f>"23-AFFIDAMENTO DIRETTO"</f>
        <v>23-AFFIDAMENTO DIRETTO</v>
      </c>
      <c r="K1187" t="str">
        <f>"20/04/2021"</f>
        <v>20/04/2021</v>
      </c>
      <c r="L1187" t="str">
        <f>"09/06/2021"</f>
        <v>09/06/2021</v>
      </c>
      <c r="M1187" t="str">
        <f>""</f>
        <v/>
      </c>
      <c r="N1187" t="str">
        <f>"Edilova Via San Marco 17 30010 Lova Campagna Lupia VE"</f>
        <v>Edilova Via San Marco 17 30010 Lova Campagna Lupia VE</v>
      </c>
      <c r="O1187" t="str">
        <f>"Edilova Via San Marco 17 30010 Lova Campagna Lupia VE"</f>
        <v>Edilova Via San Marco 17 30010 Lova Campagna Lupia VE</v>
      </c>
      <c r="P1187" t="str">
        <f>"Z8B1988101: [720.00€ ]"</f>
        <v>Z8B1988101: [720.00€ ]</v>
      </c>
      <c r="Q1187" t="str">
        <f>""</f>
        <v/>
      </c>
      <c r="R1187" t="str">
        <f>""</f>
        <v/>
      </c>
      <c r="S1187" t="str">
        <f>""</f>
        <v/>
      </c>
      <c r="T1187" t="str">
        <f>"https://portaletrasparenza.consorziobacchiglione.it/dettagli/attodigara/346/pulizia-e-spurgo-vasca-di-aspirazione-idrovora-fogolana.html"</f>
        <v>https://portaletrasparenza.consorziobacchiglione.it/dettagli/attodigara/346/pulizia-e-spurgo-vasca-di-aspirazione-idrovora-fogolana.html</v>
      </c>
      <c r="U1187" t="str">
        <f>""</f>
        <v/>
      </c>
      <c r="V11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88" spans="1:22" x14ac:dyDescent="0.3">
      <c r="A1188" t="str">
        <f>"Affidamento"</f>
        <v>Affidamento</v>
      </c>
      <c r="B1188" t="str">
        <f>"Trasporto terreno scolo Bolzani e terreno per rialzo argini scolo Menona, più trasporto escavatore cingolato su scolo Bolzani."</f>
        <v>Trasporto terreno scolo Bolzani e terreno per rialzo argini scolo Menona, più trasporto escavatore cingolato su scolo Bolzani.</v>
      </c>
      <c r="C1188" t="str">
        <f>"ZF61987D7D"</f>
        <v>ZF61987D7D</v>
      </c>
      <c r="D1188" t="str">
        <f>"04/11/2021"</f>
        <v>04/11/2021</v>
      </c>
      <c r="E1188" t="str">
        <f>""</f>
        <v/>
      </c>
      <c r="F1188" t="str">
        <f>""</f>
        <v/>
      </c>
      <c r="G1188" t="str">
        <f>"7570.50"</f>
        <v>7570.50</v>
      </c>
      <c r="H1188" t="str">
        <f>"Consorzio di bonifica Bacchiglione"</f>
        <v>Consorzio di bonifica Bacchiglione</v>
      </c>
      <c r="I1188" t="str">
        <f>"92223390284"</f>
        <v>92223390284</v>
      </c>
      <c r="J1188" t="str">
        <f>"23-AFFIDAMENTO DIRETTO"</f>
        <v>23-AFFIDAMENTO DIRETTO</v>
      </c>
      <c r="K1188" t="str">
        <f>"20/04/2021"</f>
        <v>20/04/2021</v>
      </c>
      <c r="L1188" t="str">
        <f>"18/05/2021"</f>
        <v>18/05/2021</v>
      </c>
      <c r="M1188" t="str">
        <f>""</f>
        <v/>
      </c>
      <c r="N1188" t="str">
        <f>"Martini Luciano s.r.l. Via Bagnara Alta 1172 35030 VO PD"</f>
        <v>Martini Luciano s.r.l. Via Bagnara Alta 1172 35030 VO PD</v>
      </c>
      <c r="O1188" t="str">
        <f>"Martini Luciano s.r.l. Via Bagnara Alta 1172 35030 VO PD"</f>
        <v>Martini Luciano s.r.l. Via Bagnara Alta 1172 35030 VO PD</v>
      </c>
      <c r="P1188" t="str">
        <f>"ZF61987D7D: [7570.50€ ]"</f>
        <v>ZF61987D7D: [7570.50€ ]</v>
      </c>
      <c r="Q1188" t="str">
        <f>""</f>
        <v/>
      </c>
      <c r="R1188" t="str">
        <f>""</f>
        <v/>
      </c>
      <c r="S1188" t="str">
        <f>""</f>
        <v/>
      </c>
      <c r="T1188" t="str">
        <f>"https://portaletrasparenza.consorziobacchiglione.it/dettagli/attodigara/345/trasporto-terreno-scolo-bolzani-e-terreno-per-rialzo-argini-scolo-menona-piu-trasporto-escavatore-cingolato-su-scolo-bolzani.html"</f>
        <v>https://portaletrasparenza.consorziobacchiglione.it/dettagli/attodigara/345/trasporto-terreno-scolo-bolzani-e-terreno-per-rialzo-argini-scolo-menona-piu-trasporto-escavatore-cingolato-su-scolo-bolzani.html</v>
      </c>
      <c r="U1188" t="str">
        <f>""</f>
        <v/>
      </c>
      <c r="V118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89" spans="1:22" x14ac:dyDescent="0.3">
      <c r="A1189" t="str">
        <f>"Affidamento"</f>
        <v>Affidamento</v>
      </c>
      <c r="B1189" t="str">
        <f>"Fornitura sasso per scolo Palù e Bolzani."</f>
        <v>Fornitura sasso per scolo Palù e Bolzani.</v>
      </c>
      <c r="C1189" t="str">
        <f>"Z921987A11"</f>
        <v>Z921987A11</v>
      </c>
      <c r="D1189" t="str">
        <f>"04/11/2021"</f>
        <v>04/11/2021</v>
      </c>
      <c r="E1189" t="str">
        <f>""</f>
        <v/>
      </c>
      <c r="F1189" t="str">
        <f>""</f>
        <v/>
      </c>
      <c r="G1189" t="str">
        <f>"9625.50"</f>
        <v>9625.50</v>
      </c>
      <c r="H1189" t="str">
        <f>"Consorzio di bonifica Bacchiglione"</f>
        <v>Consorzio di bonifica Bacchiglione</v>
      </c>
      <c r="I1189" t="str">
        <f>"92223390284"</f>
        <v>92223390284</v>
      </c>
      <c r="J1189" t="str">
        <f>"23-AFFIDAMENTO DIRETTO"</f>
        <v>23-AFFIDAMENTO DIRETTO</v>
      </c>
      <c r="K1189" t="str">
        <f>"20/04/2021"</f>
        <v>20/04/2021</v>
      </c>
      <c r="L1189" t="str">
        <f>"18/05/2021"</f>
        <v>18/05/2021</v>
      </c>
      <c r="M1189" t="str">
        <f>""</f>
        <v/>
      </c>
      <c r="N1189" t="str">
        <f>"Martini Luciano s.r.l. Via Bagnara Alta 1172 35030 VO PD"</f>
        <v>Martini Luciano s.r.l. Via Bagnara Alta 1172 35030 VO PD</v>
      </c>
      <c r="O1189" t="str">
        <f>"Martini Luciano s.r.l. Via Bagnara Alta 1172 35030 VO PD"</f>
        <v>Martini Luciano s.r.l. Via Bagnara Alta 1172 35030 VO PD</v>
      </c>
      <c r="P1189" t="str">
        <f>"Z921987A11: [9625.50€ ]"</f>
        <v>Z921987A11: [9625.50€ ]</v>
      </c>
      <c r="Q1189" t="str">
        <f>""</f>
        <v/>
      </c>
      <c r="R1189" t="str">
        <f>""</f>
        <v/>
      </c>
      <c r="S1189" t="str">
        <f>""</f>
        <v/>
      </c>
      <c r="T1189" t="str">
        <f>"https://portaletrasparenza.consorziobacchiglione.it/dettagli/attodigara/344/fornitura-sasso-per-scolo-palu-e-bolzani.html"</f>
        <v>https://portaletrasparenza.consorziobacchiglione.it/dettagli/attodigara/344/fornitura-sasso-per-scolo-palu-e-bolzani.html</v>
      </c>
      <c r="U1189" t="str">
        <f>""</f>
        <v/>
      </c>
      <c r="V11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90" spans="1:22" x14ac:dyDescent="0.3">
      <c r="A1190" t="str">
        <f>"Affidamento"</f>
        <v>Affidamento</v>
      </c>
      <c r="B1190" t="str">
        <f>"Audit aziendale sulla gestione del rischio elettrico secondo quanto contenuto nel Titolo III Capo III del D.lgs. 81/08"</f>
        <v>Audit aziendale sulla gestione del rischio elettrico secondo quanto contenuto nel Titolo III Capo III del D.lgs. 81/08</v>
      </c>
      <c r="C1190" t="str">
        <f>"Z023169EB4"</f>
        <v>Z023169EB4</v>
      </c>
      <c r="D1190" t="str">
        <f>"21/04/2021"</f>
        <v>21/04/2021</v>
      </c>
      <c r="E1190" t="str">
        <f>""</f>
        <v/>
      </c>
      <c r="F1190" t="str">
        <f>""</f>
        <v/>
      </c>
      <c r="G1190" t="str">
        <f>"2184.00"</f>
        <v>2184.00</v>
      </c>
      <c r="H1190" t="str">
        <f>"Consorzio di bonifica Bacchiglione"</f>
        <v>Consorzio di bonifica Bacchiglione</v>
      </c>
      <c r="I1190" t="str">
        <f>"92223390284"</f>
        <v>92223390284</v>
      </c>
      <c r="J1190" t="str">
        <f>"23-AFFIDAMENTO DIRETTO"</f>
        <v>23-AFFIDAMENTO DIRETTO</v>
      </c>
      <c r="K1190" t="str">
        <f>"20/04/2021"</f>
        <v>20/04/2021</v>
      </c>
      <c r="L1190" t="str">
        <f>"13/12/2021"</f>
        <v>13/12/2021</v>
      </c>
      <c r="M1190" t="str">
        <f>""</f>
        <v/>
      </c>
      <c r="N1190" t="str">
        <f>"Studio De Ambrosi Dott.Ing. Lorenzo De Ambrosi Via G. Falcone,5 Piove di Sacco (PD)"</f>
        <v>Studio De Ambrosi Dott.Ing. Lorenzo De Ambrosi Via G. Falcone,5 Piove di Sacco (PD)</v>
      </c>
      <c r="O1190" t="str">
        <f>"Studio De Ambrosi Dott.Ing. Lorenzo De Ambrosi Via G. Falcone,5 Piove di Sacco (PD)"</f>
        <v>Studio De Ambrosi Dott.Ing. Lorenzo De Ambrosi Via G. Falcone,5 Piove di Sacco (PD)</v>
      </c>
      <c r="P1190" t="s">
        <v>213</v>
      </c>
      <c r="Q1190" t="str">
        <f>""</f>
        <v/>
      </c>
      <c r="R1190" t="str">
        <f>""</f>
        <v/>
      </c>
      <c r="S1190" t="str">
        <f>""</f>
        <v/>
      </c>
      <c r="T1190" t="str">
        <f>"https://portaletrasparenza.consorziobacchiglione.it/dettagli/attodigara/6816/audit-aziendale-sulla-gestione-del-rischio-elettrico-secondo-quanto-contenuto-nel-titolo-iii-capo-iii-del-d-lgs-81-08.html"</f>
        <v>https://portaletrasparenza.consorziobacchiglione.it/dettagli/attodigara/6816/audit-aziendale-sulla-gestione-del-rischio-elettrico-secondo-quanto-contenuto-nel-titolo-iii-capo-iii-del-d-lgs-81-08.html</v>
      </c>
      <c r="U1190" t="str">
        <f>"https://portaletrasparenza.consorziobacchiglione.it/download/attodigara/6816/63ac4581873bf.PDF"</f>
        <v>https://portaletrasparenza.consorziobacchiglione.it/download/attodigara/6816/63ac4581873bf.PDF</v>
      </c>
      <c r="V11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91" spans="1:22" x14ac:dyDescent="0.3">
      <c r="A1191" t="str">
        <f>"Affidamento"</f>
        <v>Affidamento</v>
      </c>
      <c r="B1191" t="str">
        <f>"Controllo annuale gru con rilascio scheda del mezzo con targa: DA564ZE"</f>
        <v>Controllo annuale gru con rilascio scheda del mezzo con targa: DA564ZE</v>
      </c>
      <c r="C1191" t="str">
        <f>"Z34316DE2F"</f>
        <v>Z34316DE2F</v>
      </c>
      <c r="D1191" t="str">
        <f>"21/04/2021"</f>
        <v>21/04/2021</v>
      </c>
      <c r="E1191" t="str">
        <f>""</f>
        <v/>
      </c>
      <c r="F1191" t="str">
        <f>""</f>
        <v/>
      </c>
      <c r="G1191" t="str">
        <f>"591.00"</f>
        <v>591.00</v>
      </c>
      <c r="H1191" t="str">
        <f>"Consorzio di bonifica Bacchiglione"</f>
        <v>Consorzio di bonifica Bacchiglione</v>
      </c>
      <c r="I1191" t="str">
        <f>"92223390284"</f>
        <v>92223390284</v>
      </c>
      <c r="J1191" t="str">
        <f>"23-AFFIDAMENTO DIRETTO"</f>
        <v>23-AFFIDAMENTO DIRETTO</v>
      </c>
      <c r="K1191" t="str">
        <f>"20/04/2021"</f>
        <v>20/04/2021</v>
      </c>
      <c r="L1191" t="str">
        <f>"30/04/2021"</f>
        <v>30/04/2021</v>
      </c>
      <c r="M1191" t="str">
        <f>""</f>
        <v/>
      </c>
      <c r="N1191" t="str">
        <f>"Moressa s.r.l. Via Cuccara 2 35020 Due Carrare PD"</f>
        <v>Moressa s.r.l. Via Cuccara 2 35020 Due Carrare PD</v>
      </c>
      <c r="O1191" t="str">
        <f>"Moressa s.r.l. Via Cuccara 2 35020 Due Carrare PD"</f>
        <v>Moressa s.r.l. Via Cuccara 2 35020 Due Carrare PD</v>
      </c>
      <c r="P1191" t="str">
        <f>"Z34316DE2F: [591.00€ ]"</f>
        <v>Z34316DE2F: [591.00€ ]</v>
      </c>
      <c r="Q1191" t="str">
        <f>""</f>
        <v/>
      </c>
      <c r="R1191" t="str">
        <f>""</f>
        <v/>
      </c>
      <c r="S1191" t="str">
        <f>""</f>
        <v/>
      </c>
      <c r="T1191" t="str">
        <f>"https://portaletrasparenza.consorziobacchiglione.it/dettagli/attodigara/6818/controllo-annuale-gru-con-rilascio-scheda-del-mezzo-con-targa-da564ze.html"</f>
        <v>https://portaletrasparenza.consorziobacchiglione.it/dettagli/attodigara/6818/controllo-annuale-gru-con-rilascio-scheda-del-mezzo-con-targa-da564ze.html</v>
      </c>
      <c r="U1191" t="str">
        <f>"https://portaletrasparenza.consorziobacchiglione.it/download/attodigara/6818/63ac4581bfeb4.PDF"</f>
        <v>https://portaletrasparenza.consorziobacchiglione.it/download/attodigara/6818/63ac4581bfeb4.PDF</v>
      </c>
      <c r="V11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92" spans="1:22" x14ac:dyDescent="0.3">
      <c r="A1192" t="str">
        <f>"Affidamento"</f>
        <v>Affidamento</v>
      </c>
      <c r="B1192" t="str">
        <f>"Lavori di automazione TLC presso Sifone Terradura e Sostegno Favarin"</f>
        <v>Lavori di automazione TLC presso Sifone Terradura e Sostegno Favarin</v>
      </c>
      <c r="C1192" t="str">
        <f>"Z7A3169DB6"</f>
        <v>Z7A3169DB6</v>
      </c>
      <c r="D1192" t="str">
        <f>"21/04/2021"</f>
        <v>21/04/2021</v>
      </c>
      <c r="E1192" t="str">
        <f>""</f>
        <v/>
      </c>
      <c r="F1192" t="str">
        <f>""</f>
        <v/>
      </c>
      <c r="G1192" t="str">
        <f>"5600.00"</f>
        <v>5600.00</v>
      </c>
      <c r="H1192" t="str">
        <f>"Consorzio di bonifica Bacchiglione"</f>
        <v>Consorzio di bonifica Bacchiglione</v>
      </c>
      <c r="I1192" t="str">
        <f>"92223390284"</f>
        <v>92223390284</v>
      </c>
      <c r="J1192" t="str">
        <f>"23-AFFIDAMENTO DIRETTO"</f>
        <v>23-AFFIDAMENTO DIRETTO</v>
      </c>
      <c r="K1192" t="str">
        <f>"20/04/2021"</f>
        <v>20/04/2021</v>
      </c>
      <c r="L1192" t="str">
        <f>"30/10/2021"</f>
        <v>30/10/2021</v>
      </c>
      <c r="M1192" t="str">
        <f>""</f>
        <v/>
      </c>
      <c r="N1192" t="str">
        <f>"A.S.P. Tecnologie srl Via Padre Nicolini 29 35013 Cittadella PD"</f>
        <v>A.S.P. Tecnologie srl Via Padre Nicolini 29 35013 Cittadella PD</v>
      </c>
      <c r="O1192" t="str">
        <f>"A.S.P. Tecnologie srl Via Padre Nicolini 29 35013 Cittadella PD"</f>
        <v>A.S.P. Tecnologie srl Via Padre Nicolini 29 35013 Cittadella PD</v>
      </c>
      <c r="P1192" t="str">
        <f>"Z7A3169DB6: [5600.00€ ]"</f>
        <v>Z7A3169DB6: [5600.00€ ]</v>
      </c>
      <c r="Q1192" t="str">
        <f>""</f>
        <v/>
      </c>
      <c r="R1192" t="str">
        <f>""</f>
        <v/>
      </c>
      <c r="S1192" t="str">
        <f>""</f>
        <v/>
      </c>
      <c r="T1192" t="str">
        <f>"https://portaletrasparenza.consorziobacchiglione.it/dettagli/attodigara/6815/lavori-di-automazione-tlc-presso-sifone-terradura-e-sostegno-favarin.html"</f>
        <v>https://portaletrasparenza.consorziobacchiglione.it/dettagli/attodigara/6815/lavori-di-automazione-tlc-presso-sifone-terradura-e-sostegno-favarin.html</v>
      </c>
      <c r="U1192" t="str">
        <f>"https://portaletrasparenza.consorziobacchiglione.it/download/attodigara/6815/63ac45814ed3c.PDF"</f>
        <v>https://portaletrasparenza.consorziobacchiglione.it/download/attodigara/6815/63ac45814ed3c.PDF</v>
      </c>
      <c r="V119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93" spans="1:22" x14ac:dyDescent="0.3">
      <c r="A1193" t="str">
        <f>"Affidamento"</f>
        <v>Affidamento</v>
      </c>
      <c r="B1193" t="str">
        <f>"Fornitura ricambi per motosega presso Bacino Sesta Presa"</f>
        <v>Fornitura ricambi per motosega presso Bacino Sesta Presa</v>
      </c>
      <c r="C1193" t="str">
        <f>"ZB3316D546"</f>
        <v>ZB3316D546</v>
      </c>
      <c r="D1193" t="str">
        <f>"26/04/2021"</f>
        <v>26/04/2021</v>
      </c>
      <c r="E1193" t="str">
        <f>""</f>
        <v/>
      </c>
      <c r="F1193" t="str">
        <f>""</f>
        <v/>
      </c>
      <c r="G1193" t="str">
        <f>"157.38"</f>
        <v>157.38</v>
      </c>
      <c r="H1193" t="str">
        <f>"Consorzio di bonifica Bacchiglione"</f>
        <v>Consorzio di bonifica Bacchiglione</v>
      </c>
      <c r="I1193" t="str">
        <f>"92223390284"</f>
        <v>92223390284</v>
      </c>
      <c r="J1193" t="str">
        <f>"23-AFFIDAMENTO DIRETTO"</f>
        <v>23-AFFIDAMENTO DIRETTO</v>
      </c>
      <c r="K1193" t="str">
        <f>"20/04/2021"</f>
        <v>20/04/2021</v>
      </c>
      <c r="L1193" t="str">
        <f>"30/04/2021"</f>
        <v>30/04/2021</v>
      </c>
      <c r="M1193" t="str">
        <f>""</f>
        <v/>
      </c>
      <c r="N1193" t="str">
        <f>"Mini Motor di Vettorato Gabriele Via Puccini 3 35020 Brugine PD"</f>
        <v>Mini Motor di Vettorato Gabriele Via Puccini 3 35020 Brugine PD</v>
      </c>
      <c r="O1193" t="str">
        <f>"Mini Motor di Vettorato Gabriele Via Puccini 3 35020 Brugine PD"</f>
        <v>Mini Motor di Vettorato Gabriele Via Puccini 3 35020 Brugine PD</v>
      </c>
      <c r="P1193" t="str">
        <f>"ZB3316D546: [157.38€ ]"</f>
        <v>ZB3316D546: [157.38€ ]</v>
      </c>
      <c r="Q1193" t="str">
        <f>""</f>
        <v/>
      </c>
      <c r="R1193" t="str">
        <f>""</f>
        <v/>
      </c>
      <c r="S1193" t="str">
        <f>""</f>
        <v/>
      </c>
      <c r="T1193" t="str">
        <f>"https://portaletrasparenza.consorziobacchiglione.it/dettagli/attodigara/6817/fornitura-ricambi-per-motosega-presso-bacino-sesta-presa.html"</f>
        <v>https://portaletrasparenza.consorziobacchiglione.it/dettagli/attodigara/6817/fornitura-ricambi-per-motosega-presso-bacino-sesta-presa.html</v>
      </c>
      <c r="U1193" t="str">
        <f>"https://portaletrasparenza.consorziobacchiglione.it/download/attodigara/6817/63ac4583633cf.PDF"</f>
        <v>https://portaletrasparenza.consorziobacchiglione.it/download/attodigara/6817/63ac4583633cf.PDF</v>
      </c>
      <c r="V11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94" spans="1:22" x14ac:dyDescent="0.3">
      <c r="A1194" t="str">
        <f>"Affidamento"</f>
        <v>Affidamento</v>
      </c>
      <c r="B1194" t="str">
        <f>"Analisi di n 2 campioni di acqua su Canale Battaglia e Sifoni Orsaro per la determinazioni di PFAS ."</f>
        <v>Analisi di n 2 campioni di acqua su Canale Battaglia e Sifoni Orsaro per la determinazioni di PFAS .</v>
      </c>
      <c r="C1194" t="str">
        <f>"Z8019F64D8"</f>
        <v>Z8019F64D8</v>
      </c>
      <c r="D1194" t="str">
        <f>"04/11/2021"</f>
        <v>04/11/2021</v>
      </c>
      <c r="E1194" t="str">
        <f>""</f>
        <v/>
      </c>
      <c r="F1194" t="str">
        <f>""</f>
        <v/>
      </c>
      <c r="G1194" t="str">
        <f>"720.00"</f>
        <v>720.00</v>
      </c>
      <c r="H1194" t="str">
        <f>"Consorzio di bonifica Bacchiglione"</f>
        <v>Consorzio di bonifica Bacchiglione</v>
      </c>
      <c r="I1194" t="str">
        <f>"92223390284"</f>
        <v>92223390284</v>
      </c>
      <c r="J1194" t="str">
        <f>"23-AFFIDAMENTO DIRETTO"</f>
        <v>23-AFFIDAMENTO DIRETTO</v>
      </c>
      <c r="K1194" t="str">
        <f>"20/05/2021"</f>
        <v>20/05/2021</v>
      </c>
      <c r="L1194" t="str">
        <f>"30/11/2021"</f>
        <v>30/11/2021</v>
      </c>
      <c r="M1194" t="str">
        <f>""</f>
        <v/>
      </c>
      <c r="N1194" t="str">
        <f>"Innovazione Chimica s.r.l. Via Lazio 36 31045 Motta di Livenza TV"</f>
        <v>Innovazione Chimica s.r.l. Via Lazio 36 31045 Motta di Livenza TV</v>
      </c>
      <c r="O1194" t="str">
        <f>"Innovazione Chimica s.r.l. Via Lazio 36 31045 Motta di Livenza TV"</f>
        <v>Innovazione Chimica s.r.l. Via Lazio 36 31045 Motta di Livenza TV</v>
      </c>
      <c r="P1194" t="s">
        <v>252</v>
      </c>
      <c r="Q1194" t="str">
        <f>""</f>
        <v/>
      </c>
      <c r="R1194" t="str">
        <f>""</f>
        <v/>
      </c>
      <c r="S1194" t="str">
        <f>""</f>
        <v/>
      </c>
      <c r="T1194" t="str">
        <f>"https://portaletrasparenza.consorziobacchiglione.it/dettagli/attodigara/449/analisi-di-n-2-campioni-di-acqua-su-canale-battaglia-e-sifoni-orsaro-per-la-determinazioni-di-pfas.html"</f>
        <v>https://portaletrasparenza.consorziobacchiglione.it/dettagli/attodigara/449/analisi-di-n-2-campioni-di-acqua-su-canale-battaglia-e-sifoni-orsaro-per-la-determinazioni-di-pfas.html</v>
      </c>
      <c r="U1194" t="str">
        <f>""</f>
        <v/>
      </c>
      <c r="V119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95" spans="1:22" x14ac:dyDescent="0.3">
      <c r="A1195" t="str">
        <f>"Affidamento"</f>
        <v>Affidamento</v>
      </c>
      <c r="B1195" t="str">
        <f>"Fornitura materiale D.P.I. per personale di campagna."</f>
        <v>Fornitura materiale D.P.I. per personale di campagna.</v>
      </c>
      <c r="C1195" t="str">
        <f>"Z8E19F67A3"</f>
        <v>Z8E19F67A3</v>
      </c>
      <c r="D1195" t="str">
        <f>"04/11/2021"</f>
        <v>04/11/2021</v>
      </c>
      <c r="E1195" t="str">
        <f>""</f>
        <v/>
      </c>
      <c r="F1195" t="str">
        <f>""</f>
        <v/>
      </c>
      <c r="G1195" t="str">
        <f>"1536.20"</f>
        <v>1536.20</v>
      </c>
      <c r="H1195" t="str">
        <f>"Consorzio di bonifica Bacchiglione"</f>
        <v>Consorzio di bonifica Bacchiglione</v>
      </c>
      <c r="I1195" t="str">
        <f>"92223390284"</f>
        <v>92223390284</v>
      </c>
      <c r="J1195" t="str">
        <f>"23-AFFIDAMENTO DIRETTO"</f>
        <v>23-AFFIDAMENTO DIRETTO</v>
      </c>
      <c r="K1195" t="str">
        <f>"20/05/2021"</f>
        <v>20/05/2021</v>
      </c>
      <c r="L1195" t="str">
        <f>"18/07/2021"</f>
        <v>18/07/2021</v>
      </c>
      <c r="M1195" t="str">
        <f>""</f>
        <v/>
      </c>
      <c r="N1195" t="str">
        <f>"SIR Safety System S.p.A. Zona Industriale S. Maria degli Angeli 06088 Assisi PG"</f>
        <v>SIR Safety System S.p.A. Zona Industriale S. Maria degli Angeli 06088 Assisi PG</v>
      </c>
      <c r="O1195" t="str">
        <f>"SIR Safety System S.p.A. Zona Industriale S. Maria degli Angeli 06088 Assisi PG"</f>
        <v>SIR Safety System S.p.A. Zona Industriale S. Maria degli Angeli 06088 Assisi PG</v>
      </c>
      <c r="P1195" t="str">
        <f>"Z8E19F67A3: [1536.20€ ]"</f>
        <v>Z8E19F67A3: [1536.20€ ]</v>
      </c>
      <c r="Q1195" t="str">
        <f>""</f>
        <v/>
      </c>
      <c r="R1195" t="str">
        <f>""</f>
        <v/>
      </c>
      <c r="S1195" t="str">
        <f>""</f>
        <v/>
      </c>
      <c r="T1195" t="str">
        <f>"https://portaletrasparenza.consorziobacchiglione.it/dettagli/attodigara/451/fornitura-materiale-d-p-i-per-personale-di-campagna.html"</f>
        <v>https://portaletrasparenza.consorziobacchiglione.it/dettagli/attodigara/451/fornitura-materiale-d-p-i-per-personale-di-campagna.html</v>
      </c>
      <c r="U1195" t="str">
        <f>""</f>
        <v/>
      </c>
      <c r="V119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96" spans="1:22" x14ac:dyDescent="0.3">
      <c r="A1196" t="str">
        <f>"Affidamento"</f>
        <v>Affidamento</v>
      </c>
      <c r="B1196" t="str">
        <f>"Lavoro di installazione inverter EP1 dell'Idrovora S.Margherita."</f>
        <v>Lavoro di installazione inverter EP1 dell'Idrovora S.Margherita.</v>
      </c>
      <c r="C1196" t="str">
        <f>"Z1F19F6627"</f>
        <v>Z1F19F6627</v>
      </c>
      <c r="D1196" t="str">
        <f>"04/11/2021"</f>
        <v>04/11/2021</v>
      </c>
      <c r="E1196" t="str">
        <f>""</f>
        <v/>
      </c>
      <c r="F1196" t="str">
        <f>""</f>
        <v/>
      </c>
      <c r="G1196" t="str">
        <f>"2438.50"</f>
        <v>2438.50</v>
      </c>
      <c r="H1196" t="str">
        <f>"Consorzio di bonifica Bacchiglione"</f>
        <v>Consorzio di bonifica Bacchiglione</v>
      </c>
      <c r="I1196" t="str">
        <f>"92223390284"</f>
        <v>92223390284</v>
      </c>
      <c r="J1196" t="str">
        <f>"23-AFFIDAMENTO DIRETTO"</f>
        <v>23-AFFIDAMENTO DIRETTO</v>
      </c>
      <c r="K1196" t="str">
        <f>"20/05/2021"</f>
        <v>20/05/2021</v>
      </c>
      <c r="L1196" t="str">
        <f>"29/03/2021"</f>
        <v>29/03/2021</v>
      </c>
      <c r="M1196" t="str">
        <f>""</f>
        <v/>
      </c>
      <c r="N1196" t="str">
        <f>"A.S.P. Tecnologie srl Via Padre Nicolini 29 35013 Cittadella PD | M.T.Elettric SNC Via Malipiera 48B 45014 Porto Viro RO | Picello s.r.l. V.le del Progresso 14A 35026 Conselve PD"</f>
        <v>A.S.P. Tecnologie srl Via Padre Nicolini 29 35013 Cittadella PD | M.T.Elettric SNC Via Malipiera 48B 45014 Porto Viro RO | Picello s.r.l. V.le del Progresso 14A 35026 Conselve PD</v>
      </c>
      <c r="O1196" t="str">
        <f>"Picello s.r.l. V.le del Progresso 14A 35026 Conselve PD"</f>
        <v>Picello s.r.l. V.le del Progresso 14A 35026 Conselve PD</v>
      </c>
      <c r="P1196" t="str">
        <f>"Z1F19F6627: [2438.50€ ]"</f>
        <v>Z1F19F6627: [2438.50€ ]</v>
      </c>
      <c r="Q1196" t="str">
        <f>""</f>
        <v/>
      </c>
      <c r="R1196" t="str">
        <f>""</f>
        <v/>
      </c>
      <c r="S1196" t="str">
        <f>""</f>
        <v/>
      </c>
      <c r="T1196" t="str">
        <f>"https://portaletrasparenza.consorziobacchiglione.it/dettagli/attodigara/450/lavoro-di-installazione-inverter-ep1-dell-idrovora-s-margherita.html"</f>
        <v>https://portaletrasparenza.consorziobacchiglione.it/dettagli/attodigara/450/lavoro-di-installazione-inverter-ep1-dell-idrovora-s-margherita.html</v>
      </c>
      <c r="U1196" t="str">
        <f>""</f>
        <v/>
      </c>
      <c r="V119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97" spans="1:22" x14ac:dyDescent="0.3">
      <c r="A1197" t="str">
        <f>"Affidamento"</f>
        <v>Affidamento</v>
      </c>
      <c r="B1197" t="str">
        <f>"Fornitura n 10 telefonini per personale Consorziale"</f>
        <v>Fornitura n 10 telefonini per personale Consorziale</v>
      </c>
      <c r="C1197" t="str">
        <f>"Z8319F5CD4"</f>
        <v>Z8319F5CD4</v>
      </c>
      <c r="D1197" t="str">
        <f>"04/11/2021"</f>
        <v>04/11/2021</v>
      </c>
      <c r="E1197" t="str">
        <f>""</f>
        <v/>
      </c>
      <c r="F1197" t="str">
        <f>""</f>
        <v/>
      </c>
      <c r="G1197" t="str">
        <f>"409.89"</f>
        <v>409.89</v>
      </c>
      <c r="H1197" t="str">
        <f>"Consorzio di bonifica Bacchiglione"</f>
        <v>Consorzio di bonifica Bacchiglione</v>
      </c>
      <c r="I1197" t="str">
        <f>"92223390284"</f>
        <v>92223390284</v>
      </c>
      <c r="J1197" t="str">
        <f>"23-AFFIDAMENTO DIRETTO"</f>
        <v>23-AFFIDAMENTO DIRETTO</v>
      </c>
      <c r="K1197" t="str">
        <f>"20/05/2021"</f>
        <v>20/05/2021</v>
      </c>
      <c r="L1197" t="str">
        <f>"01/08/2021"</f>
        <v>01/08/2021</v>
      </c>
      <c r="M1197" t="str">
        <f>""</f>
        <v/>
      </c>
      <c r="N1197" t="str">
        <f>"Euroservice s.r.l. Via della Navigazione Interna 51-1 35129 Padova"</f>
        <v>Euroservice s.r.l. Via della Navigazione Interna 51-1 35129 Padova</v>
      </c>
      <c r="O1197" t="str">
        <f>"Euroservice s.r.l. Via della Navigazione Interna 51-1 35129 Padova"</f>
        <v>Euroservice s.r.l. Via della Navigazione Interna 51-1 35129 Padova</v>
      </c>
      <c r="P1197" t="str">
        <f>"Z8319F5CD4: [409.89€ ]"</f>
        <v>Z8319F5CD4: [409.89€ ]</v>
      </c>
      <c r="Q1197" t="str">
        <f>""</f>
        <v/>
      </c>
      <c r="R1197" t="str">
        <f>""</f>
        <v/>
      </c>
      <c r="S1197" t="str">
        <f>""</f>
        <v/>
      </c>
      <c r="T1197" t="str">
        <f>"https://portaletrasparenza.consorziobacchiglione.it/dettagli/attodigara/448/fornitura-n-10-telefonini-per-personale-consorziale.html"</f>
        <v>https://portaletrasparenza.consorziobacchiglione.it/dettagli/attodigara/448/fornitura-n-10-telefonini-per-personale-consorziale.html</v>
      </c>
      <c r="U1197" t="str">
        <f>""</f>
        <v/>
      </c>
      <c r="V11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98" spans="1:22" x14ac:dyDescent="0.3">
      <c r="A1198" t="str">
        <f>"Affidamento"</f>
        <v>Affidamento</v>
      </c>
      <c r="B1198" t="str">
        <f>"Manutenzione e riparazione mezzo con targa: EW930NS"</f>
        <v>Manutenzione e riparazione mezzo con targa: EW930NS</v>
      </c>
      <c r="C1198" t="str">
        <f>"Z2719F5B90"</f>
        <v>Z2719F5B90</v>
      </c>
      <c r="D1198" t="str">
        <f>"04/11/2021"</f>
        <v>04/11/2021</v>
      </c>
      <c r="E1198" t="str">
        <f>""</f>
        <v/>
      </c>
      <c r="F1198" t="str">
        <f>""</f>
        <v/>
      </c>
      <c r="G1198" t="str">
        <f>"434.66"</f>
        <v>434.66</v>
      </c>
      <c r="H1198" t="str">
        <f>"Consorzio di bonifica Bacchiglione"</f>
        <v>Consorzio di bonifica Bacchiglione</v>
      </c>
      <c r="I1198" t="str">
        <f>"92223390284"</f>
        <v>92223390284</v>
      </c>
      <c r="J1198" t="str">
        <f>"23-AFFIDAMENTO DIRETTO"</f>
        <v>23-AFFIDAMENTO DIRETTO</v>
      </c>
      <c r="K1198" t="str">
        <f>"20/05/2021"</f>
        <v>20/05/2021</v>
      </c>
      <c r="L1198" t="str">
        <f>"01/08/2021"</f>
        <v>01/08/2021</v>
      </c>
      <c r="M1198" t="str">
        <f>""</f>
        <v/>
      </c>
      <c r="N1198" t="str">
        <f>"Autoriparazioni Ravazzolo s.r.l. Via Roma 259a 35030 Montemerlo di Cervarese Santa Croce PD"</f>
        <v>Autoriparazioni Ravazzolo s.r.l. Via Roma 259a 35030 Montemerlo di Cervarese Santa Croce PD</v>
      </c>
      <c r="O1198" t="str">
        <f>"Autoriparazioni Ravazzolo s.r.l. Via Roma 259a 35030 Montemerlo di Cervarese Santa Croce PD"</f>
        <v>Autoriparazioni Ravazzolo s.r.l. Via Roma 259a 35030 Montemerlo di Cervarese Santa Croce PD</v>
      </c>
      <c r="P1198" t="str">
        <f>"Z2719F5B90: [434.66€ ]"</f>
        <v>Z2719F5B90: [434.66€ ]</v>
      </c>
      <c r="Q1198" t="str">
        <f>""</f>
        <v/>
      </c>
      <c r="R1198" t="str">
        <f>""</f>
        <v/>
      </c>
      <c r="S1198" t="str">
        <f>""</f>
        <v/>
      </c>
      <c r="T1198" t="str">
        <f>"https://portaletrasparenza.consorziobacchiglione.it/dettagli/attodigara/447/manutenzione-e-riparazione-mezzo-con-targa-ew930ns.html"</f>
        <v>https://portaletrasparenza.consorziobacchiglione.it/dettagli/attodigara/447/manutenzione-e-riparazione-mezzo-con-targa-ew930ns.html</v>
      </c>
      <c r="U1198" t="str">
        <f>""</f>
        <v/>
      </c>
      <c r="V11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199" spans="1:22" x14ac:dyDescent="0.3">
      <c r="A1199" t="str">
        <f>"Affidamento"</f>
        <v>Affidamento</v>
      </c>
      <c r="B1199" t="str">
        <f>"Manutenzione e riparazione mezzo con targa: DS717AA"</f>
        <v>Manutenzione e riparazione mezzo con targa: DS717AA</v>
      </c>
      <c r="C1199" t="str">
        <f>"Z6A19F5617"</f>
        <v>Z6A19F5617</v>
      </c>
      <c r="D1199" t="str">
        <f>"04/11/2021"</f>
        <v>04/11/2021</v>
      </c>
      <c r="E1199" t="str">
        <f>""</f>
        <v/>
      </c>
      <c r="F1199" t="str">
        <f>""</f>
        <v/>
      </c>
      <c r="G1199" t="str">
        <f>"233.41"</f>
        <v>233.41</v>
      </c>
      <c r="H1199" t="str">
        <f>"Consorzio di bonifica Bacchiglione"</f>
        <v>Consorzio di bonifica Bacchiglione</v>
      </c>
      <c r="I1199" t="str">
        <f>"92223390284"</f>
        <v>92223390284</v>
      </c>
      <c r="J1199" t="str">
        <f>"23-AFFIDAMENTO DIRETTO"</f>
        <v>23-AFFIDAMENTO DIRETTO</v>
      </c>
      <c r="K1199" t="str">
        <f>"20/05/2021"</f>
        <v>20/05/2021</v>
      </c>
      <c r="L1199" t="str">
        <f>"15/06/2021"</f>
        <v>15/06/2021</v>
      </c>
      <c r="M1199" t="str">
        <f>""</f>
        <v/>
      </c>
      <c r="N1199" t="str">
        <f>"Elettrodiesel Peruzzo s.r.l. Via Tevere 30 35135 Padova"</f>
        <v>Elettrodiesel Peruzzo s.r.l. Via Tevere 30 35135 Padova</v>
      </c>
      <c r="O1199" t="str">
        <f>"Elettrodiesel Peruzzo s.r.l. Via Tevere 30 35135 Padova"</f>
        <v>Elettrodiesel Peruzzo s.r.l. Via Tevere 30 35135 Padova</v>
      </c>
      <c r="P1199" t="str">
        <f>"Z6A19F5617: [233.41€ ]"</f>
        <v>Z6A19F5617: [233.41€ ]</v>
      </c>
      <c r="Q1199" t="str">
        <f>""</f>
        <v/>
      </c>
      <c r="R1199" t="str">
        <f>""</f>
        <v/>
      </c>
      <c r="S1199" t="str">
        <f>""</f>
        <v/>
      </c>
      <c r="T1199" t="str">
        <f>"https://portaletrasparenza.consorziobacchiglione.it/dettagli/attodigara/446/manutenzione-e-riparazione-mezzo-con-targa-ds717aa.html"</f>
        <v>https://portaletrasparenza.consorziobacchiglione.it/dettagli/attodigara/446/manutenzione-e-riparazione-mezzo-con-targa-ds717aa.html</v>
      </c>
      <c r="U1199" t="str">
        <f>""</f>
        <v/>
      </c>
      <c r="V11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00" spans="1:22" x14ac:dyDescent="0.3">
      <c r="A1200" t="str">
        <f>"Affidamento"</f>
        <v>Affidamento</v>
      </c>
      <c r="B1200" t="str">
        <f>"Noleggio vibroinfissore piantapalo Furukawa FCP installato su nostro escavatore cingolato R 904."</f>
        <v>Noleggio vibroinfissore piantapalo Furukawa FCP installato su nostro escavatore cingolato R 904.</v>
      </c>
      <c r="C1200" t="str">
        <f>"ZCD19F5457"</f>
        <v>ZCD19F5457</v>
      </c>
      <c r="D1200" t="str">
        <f>"04/11/2021"</f>
        <v>04/11/2021</v>
      </c>
      <c r="E1200" t="str">
        <f>""</f>
        <v/>
      </c>
      <c r="F1200" t="str">
        <f>""</f>
        <v/>
      </c>
      <c r="G1200" t="str">
        <f>"2760.00"</f>
        <v>2760.00</v>
      </c>
      <c r="H1200" t="str">
        <f>"Consorzio di bonifica Bacchiglione"</f>
        <v>Consorzio di bonifica Bacchiglione</v>
      </c>
      <c r="I1200" t="str">
        <f>"92223390284"</f>
        <v>92223390284</v>
      </c>
      <c r="J1200" t="str">
        <f>"23-AFFIDAMENTO DIRETTO"</f>
        <v>23-AFFIDAMENTO DIRETTO</v>
      </c>
      <c r="K1200" t="str">
        <f>"20/05/2021"</f>
        <v>20/05/2021</v>
      </c>
      <c r="L1200" t="str">
        <f>"11/07/2021"</f>
        <v>11/07/2021</v>
      </c>
      <c r="M1200" t="str">
        <f>""</f>
        <v/>
      </c>
      <c r="N1200" t="str">
        <f>"Sorme Noleggi s.a.s. Via Monache 21 35030 Selvazzano Dentro PD"</f>
        <v>Sorme Noleggi s.a.s. Via Monache 21 35030 Selvazzano Dentro PD</v>
      </c>
      <c r="O1200" t="str">
        <f>"Sorme Noleggi s.a.s. Via Monache 21 35030 Selvazzano Dentro PD"</f>
        <v>Sorme Noleggi s.a.s. Via Monache 21 35030 Selvazzano Dentro PD</v>
      </c>
      <c r="P1200" t="str">
        <f>"ZCD19F5457: [2760.00€ ]"</f>
        <v>ZCD19F5457: [2760.00€ ]</v>
      </c>
      <c r="Q1200" t="str">
        <f>""</f>
        <v/>
      </c>
      <c r="R1200" t="str">
        <f>""</f>
        <v/>
      </c>
      <c r="S1200" t="str">
        <f>""</f>
        <v/>
      </c>
      <c r="T1200" t="str">
        <f>"https://portaletrasparenza.consorziobacchiglione.it/dettagli/attodigara/445/noleggio-vibroinfissore-piantapalo-furukawa-fcp-installato-su-nostro-escavatore-cingolato-r-904.html"</f>
        <v>https://portaletrasparenza.consorziobacchiglione.it/dettagli/attodigara/445/noleggio-vibroinfissore-piantapalo-furukawa-fcp-installato-su-nostro-escavatore-cingolato-r-904.html</v>
      </c>
      <c r="U1200" t="str">
        <f>""</f>
        <v/>
      </c>
      <c r="V12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01" spans="1:22" x14ac:dyDescent="0.3">
      <c r="A1201" t="str">
        <f>"Affidamento"</f>
        <v>Affidamento</v>
      </c>
      <c r="B1201" t="str">
        <f>"Fornitura materiale edile per scolo Valli, canaletta Roggia Manzere, Idrovora Fogolana."</f>
        <v>Fornitura materiale edile per scolo Valli, canaletta Roggia Manzere, Idrovora Fogolana.</v>
      </c>
      <c r="C1201" t="str">
        <f>"ZCC19F4D35"</f>
        <v>ZCC19F4D35</v>
      </c>
      <c r="D1201" t="str">
        <f>"04/11/2021"</f>
        <v>04/11/2021</v>
      </c>
      <c r="E1201" t="str">
        <f>""</f>
        <v/>
      </c>
      <c r="F1201" t="str">
        <f>""</f>
        <v/>
      </c>
      <c r="G1201" t="str">
        <f>"1072.65"</f>
        <v>1072.65</v>
      </c>
      <c r="H1201" t="str">
        <f>"Consorzio di bonifica Bacchiglione"</f>
        <v>Consorzio di bonifica Bacchiglione</v>
      </c>
      <c r="I1201" t="str">
        <f>"92223390284"</f>
        <v>92223390284</v>
      </c>
      <c r="J1201" t="str">
        <f>"23-AFFIDAMENTO DIRETTO"</f>
        <v>23-AFFIDAMENTO DIRETTO</v>
      </c>
      <c r="K1201" t="str">
        <f>"20/05/2021"</f>
        <v>20/05/2021</v>
      </c>
      <c r="L1201" t="str">
        <f>"18/07/2021"</f>
        <v>18/07/2021</v>
      </c>
      <c r="M1201" t="str">
        <f>""</f>
        <v/>
      </c>
      <c r="N1201" t="str">
        <f>"Idronord s.r.l. Via delle Industrie 3C 30036 Santa Maria Di Sala VE"</f>
        <v>Idronord s.r.l. Via delle Industrie 3C 30036 Santa Maria Di Sala VE</v>
      </c>
      <c r="O1201" t="str">
        <f>"Idronord s.r.l. Via delle Industrie 3C 30036 Santa Maria Di Sala VE"</f>
        <v>Idronord s.r.l. Via delle Industrie 3C 30036 Santa Maria Di Sala VE</v>
      </c>
      <c r="P1201" t="str">
        <f>"ZCC19F4D35: [1072.64€ ]"</f>
        <v>ZCC19F4D35: [1072.64€ ]</v>
      </c>
      <c r="Q1201" t="str">
        <f>""</f>
        <v/>
      </c>
      <c r="R1201" t="str">
        <f>""</f>
        <v/>
      </c>
      <c r="S1201" t="str">
        <f>""</f>
        <v/>
      </c>
      <c r="T1201" t="str">
        <f>"https://portaletrasparenza.consorziobacchiglione.it/dettagli/attodigara/444/fornitura-materiale-edile-per-scolo-valli-canaletta-roggia-manzere-idrovora-fogolana.html"</f>
        <v>https://portaletrasparenza.consorziobacchiglione.it/dettagli/attodigara/444/fornitura-materiale-edile-per-scolo-valli-canaletta-roggia-manzere-idrovora-fogolana.html</v>
      </c>
      <c r="U1201" t="str">
        <f>""</f>
        <v/>
      </c>
      <c r="V1201">
        <f>(SUBSTITUTE(Tabella1[[#This Row],[Importo di aggiudicazione]],".",","))-(SUBSTITUTE(  SUBSTITUTE(          SUBSTITUTE(Tabella1[[#This Row],[Dettaglio somme liquidate]],Tabella1[[#This Row],[CIG]]&amp;": [",""),"€ ]",""),".",","))</f>
        <v>9.9999999999909051E-3</v>
      </c>
    </row>
    <row r="1202" spans="1:22" x14ac:dyDescent="0.3">
      <c r="A1202" t="str">
        <f>"Affidamento"</f>
        <v>Affidamento</v>
      </c>
      <c r="B1202" t="str">
        <f>"Lavori di manutenzione alle opere consorziali per l'anno 2016 - Reparto Occidentale"</f>
        <v>Lavori di manutenzione alle opere consorziali per l'anno 2016 - Reparto Occidentale</v>
      </c>
      <c r="C1202" t="str">
        <f>"663818538E"</f>
        <v>663818538E</v>
      </c>
      <c r="D1202" t="str">
        <f>"04/11/2021"</f>
        <v>04/11/2021</v>
      </c>
      <c r="E1202" t="str">
        <f>""</f>
        <v/>
      </c>
      <c r="F1202" t="str">
        <f>""</f>
        <v/>
      </c>
      <c r="G1202" t="str">
        <f>"118649.16"</f>
        <v>118649.16</v>
      </c>
      <c r="H1202" t="str">
        <f>"Consorzio di bonifica Bacchiglione"</f>
        <v>Consorzio di bonifica Bacchiglione</v>
      </c>
      <c r="I1202" t="str">
        <f>"92223390284"</f>
        <v>92223390284</v>
      </c>
      <c r="J1202" t="str">
        <f>"08-AFFIDAMENTO IN ECONOMIA - COTTIMO FIDUCIARIO"</f>
        <v>08-AFFIDAMENTO IN ECONOMIA - COTTIMO FIDUCIARIO</v>
      </c>
      <c r="K1202" t="str">
        <f>"20/05/2021"</f>
        <v>20/05/2021</v>
      </c>
      <c r="L1202" t="str">
        <f>"08/05/2021"</f>
        <v>08/05/2021</v>
      </c>
      <c r="M1202" t="str">
        <f>""</f>
        <v/>
      </c>
      <c r="N1202" t="str">
        <f>"Capparotto s.r.l. | Costruzioni Ing. Carlo Broetto s.r.l. con Unico Socio | Martini Luciano s.r.l. | Canton Giovanni s.n.c. di Canton Lucio E C. | Bano Costruzioni Generali s.r.l."</f>
        <v>Capparotto s.r.l. | Costruzioni Ing. Carlo Broetto s.r.l. con Unico Socio | Martini Luciano s.r.l. | Canton Giovanni s.n.c. di Canton Lucio E C. | Bano Costruzioni Generali s.r.l.</v>
      </c>
      <c r="O1202" t="str">
        <f>"Costruzioni Ing. Carlo Broetto s.r.l. con Unico Socio"</f>
        <v>Costruzioni Ing. Carlo Broetto s.r.l. con Unico Socio</v>
      </c>
      <c r="P1202" t="str">
        <f>"663818538E: [118631.73€ ]"</f>
        <v>663818538E: [118631.73€ ]</v>
      </c>
      <c r="Q1202" t="str">
        <f>""</f>
        <v/>
      </c>
      <c r="R1202" t="str">
        <f>""</f>
        <v/>
      </c>
      <c r="S1202" t="str">
        <f>""</f>
        <v/>
      </c>
      <c r="T1202" t="str">
        <f>"https://portaletrasparenza.consorziobacchiglione.it/dettagli/attodigara/5/lavori-di-manutenzione-alle-opere-consorziali-per-l-anno-2016-reparto-occidentale.html"</f>
        <v>https://portaletrasparenza.consorziobacchiglione.it/dettagli/attodigara/5/lavori-di-manutenzione-alle-opere-consorziali-per-l-anno-2016-reparto-occidentale.html</v>
      </c>
      <c r="U1202" t="str">
        <f>""</f>
        <v/>
      </c>
      <c r="V1202">
        <f>(SUBSTITUTE(Tabella1[[#This Row],[Importo di aggiudicazione]],".",","))-(SUBSTITUTE(  SUBSTITUTE(          SUBSTITUTE(Tabella1[[#This Row],[Dettaglio somme liquidate]],Tabella1[[#This Row],[CIG]]&amp;": [",""),"€ ]",""),".",","))</f>
        <v>17.430000000007567</v>
      </c>
    </row>
    <row r="1203" spans="1:22" x14ac:dyDescent="0.3">
      <c r="A1203" t="str">
        <f>"Affidamento"</f>
        <v>Affidamento</v>
      </c>
      <c r="B1203" t="str">
        <f>"Diserbo degli scoli consorziali per l'anno 2016 - Bacino Sesta Presa - Prima Sezione Destra Brenta (cottimo 06/2016)"</f>
        <v>Diserbo degli scoli consorziali per l'anno 2016 - Bacino Sesta Presa - Prima Sezione Destra Brenta (cottimo 06/2016)</v>
      </c>
      <c r="C1203" t="str">
        <f>"66498150F0"</f>
        <v>66498150F0</v>
      </c>
      <c r="D1203" t="str">
        <f>"04/11/2021"</f>
        <v>04/11/2021</v>
      </c>
      <c r="E1203" t="str">
        <f>""</f>
        <v/>
      </c>
      <c r="F1203" t="str">
        <f>""</f>
        <v/>
      </c>
      <c r="G1203" t="str">
        <f>"62249.61"</f>
        <v>62249.61</v>
      </c>
      <c r="H1203" t="str">
        <f>"Consorzio di bonifica Bacchiglione"</f>
        <v>Consorzio di bonifica Bacchiglione</v>
      </c>
      <c r="I1203" t="str">
        <f>"92223390284"</f>
        <v>92223390284</v>
      </c>
      <c r="J1203" t="str">
        <f>"08-AFFIDAMENTO IN ECONOMIA - COTTIMO FIDUCIARIO"</f>
        <v>08-AFFIDAMENTO IN ECONOMIA - COTTIMO FIDUCIARIO</v>
      </c>
      <c r="K1203" t="str">
        <f>"20/06/2021"</f>
        <v>20/06/2021</v>
      </c>
      <c r="L1203" t="str">
        <f>"24/03/2021"</f>
        <v>24/03/2021</v>
      </c>
      <c r="M1203" t="str">
        <f>""</f>
        <v/>
      </c>
      <c r="N1203" t="str">
        <f>"Beltrame Michele | Rossetto Bruno e Renato s.n.c. | Viale Nicola | Sgobbi Guido Pietro | Fasolato Franco"</f>
        <v>Beltrame Michele | Rossetto Bruno e Renato s.n.c. | Viale Nicola | Sgobbi Guido Pietro | Fasolato Franco</v>
      </c>
      <c r="O1203" t="str">
        <f>"Viale Nicola"</f>
        <v>Viale Nicola</v>
      </c>
      <c r="P1203" t="str">
        <f>"66498150F0: [62249.54€ ]"</f>
        <v>66498150F0: [62249.54€ ]</v>
      </c>
      <c r="Q1203" t="str">
        <f>""</f>
        <v/>
      </c>
      <c r="R1203" t="str">
        <f>""</f>
        <v/>
      </c>
      <c r="S1203" t="str">
        <f>""</f>
        <v/>
      </c>
      <c r="T1203" t="str">
        <f>"https://portaletrasparenza.consorziobacchiglione.it/dettagli/attodigara/9/diserbo-degli-scoli-consorziali-per-l-anno-2016-bacino-sesta-presa-prima-sezione-destra-brenta-cottimo-06-2016.html"</f>
        <v>https://portaletrasparenza.consorziobacchiglione.it/dettagli/attodigara/9/diserbo-degli-scoli-consorziali-per-l-anno-2016-bacino-sesta-presa-prima-sezione-destra-brenta-cottimo-06-2016.html</v>
      </c>
      <c r="U1203" t="str">
        <f>""</f>
        <v/>
      </c>
      <c r="V1203">
        <f>(SUBSTITUTE(Tabella1[[#This Row],[Importo di aggiudicazione]],".",","))-(SUBSTITUTE(  SUBSTITUTE(          SUBSTITUTE(Tabella1[[#This Row],[Dettaglio somme liquidate]],Tabella1[[#This Row],[CIG]]&amp;": [",""),"€ ]",""),".",","))</f>
        <v>6.9999999999708962E-2</v>
      </c>
    </row>
    <row r="1204" spans="1:22" x14ac:dyDescent="0.3">
      <c r="A1204" t="str">
        <f>"Affidamento"</f>
        <v>Affidamento</v>
      </c>
      <c r="B1204" t="str">
        <f>"Riparazione e manutenzione mezzi con targa: EP107XC, DS717AA, DA205YW, DN881SC, AJ206BM."</f>
        <v>Riparazione e manutenzione mezzi con targa: EP107XC, DS717AA, DA205YW, DN881SC, AJ206BM.</v>
      </c>
      <c r="C1204" t="str">
        <f>"Z5B1AB56C2"</f>
        <v>Z5B1AB56C2</v>
      </c>
      <c r="D1204" t="str">
        <f>"04/11/2021"</f>
        <v>04/11/2021</v>
      </c>
      <c r="E1204" t="str">
        <f>""</f>
        <v/>
      </c>
      <c r="F1204" t="str">
        <f>""</f>
        <v/>
      </c>
      <c r="G1204" t="str">
        <f>"4734.18"</f>
        <v>4734.18</v>
      </c>
      <c r="H1204" t="str">
        <f>"Consorzio di bonifica Bacchiglione"</f>
        <v>Consorzio di bonifica Bacchiglione</v>
      </c>
      <c r="I1204" t="str">
        <f>"92223390284"</f>
        <v>92223390284</v>
      </c>
      <c r="J1204" t="str">
        <f>"23-AFFIDAMENTO DIRETTO"</f>
        <v>23-AFFIDAMENTO DIRETTO</v>
      </c>
      <c r="K1204" t="str">
        <f>"20/07/2021"</f>
        <v>20/07/2021</v>
      </c>
      <c r="L1204" t="str">
        <f>"05/09/2021"</f>
        <v>05/09/2021</v>
      </c>
      <c r="M1204" t="str">
        <f>""</f>
        <v/>
      </c>
      <c r="N1204" t="str">
        <f>"Mardegan F.lli s.n.c. Via Argine Destro 13A 35020 Brenta di Correzzola PD"</f>
        <v>Mardegan F.lli s.n.c. Via Argine Destro 13A 35020 Brenta di Correzzola PD</v>
      </c>
      <c r="O1204" t="str">
        <f>"Mardegan F.lli s.n.c. Via Argine Destro 13A 35020 Brenta di Correzzola PD"</f>
        <v>Mardegan F.lli s.n.c. Via Argine Destro 13A 35020 Brenta di Correzzola PD</v>
      </c>
      <c r="P1204" t="s">
        <v>336</v>
      </c>
      <c r="Q1204" t="str">
        <f>""</f>
        <v/>
      </c>
      <c r="R1204" t="str">
        <f>""</f>
        <v/>
      </c>
      <c r="S1204" t="str">
        <f>""</f>
        <v/>
      </c>
      <c r="T1204" t="str">
        <f>"https://portaletrasparenza.consorziobacchiglione.it/dettagli/attodigara/602/riparazione-e-manutenzione-mezzi-con-targa-ep107xc-ds717aa-da205yw-dn881sc-aj206bm.html"</f>
        <v>https://portaletrasparenza.consorziobacchiglione.it/dettagli/attodigara/602/riparazione-e-manutenzione-mezzi-con-targa-ep107xc-ds717aa-da205yw-dn881sc-aj206bm.html</v>
      </c>
      <c r="U1204" t="str">
        <f>""</f>
        <v/>
      </c>
      <c r="V12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05" spans="1:22" x14ac:dyDescent="0.3">
      <c r="A1205" t="str">
        <f>"Affidamento"</f>
        <v>Affidamento</v>
      </c>
      <c r="B1205" t="str">
        <f>"Fornitura cellophane da 15 cm e 50 cm per bacino Delta Brenta."</f>
        <v>Fornitura cellophane da 15 cm e 50 cm per bacino Delta Brenta.</v>
      </c>
      <c r="C1205" t="str">
        <f>"Z9C1AB579C"</f>
        <v>Z9C1AB579C</v>
      </c>
      <c r="D1205" t="str">
        <f>"04/11/2021"</f>
        <v>04/11/2021</v>
      </c>
      <c r="E1205" t="str">
        <f>""</f>
        <v/>
      </c>
      <c r="F1205" t="str">
        <f>""</f>
        <v/>
      </c>
      <c r="G1205" t="str">
        <f>"102.50"</f>
        <v>102.50</v>
      </c>
      <c r="H1205" t="str">
        <f>"Consorzio di bonifica Bacchiglione"</f>
        <v>Consorzio di bonifica Bacchiglione</v>
      </c>
      <c r="I1205" t="str">
        <f>"92223390284"</f>
        <v>92223390284</v>
      </c>
      <c r="J1205" t="str">
        <f>"23-AFFIDAMENTO DIRETTO"</f>
        <v>23-AFFIDAMENTO DIRETTO</v>
      </c>
      <c r="K1205" t="str">
        <f>"20/07/2021"</f>
        <v>20/07/2021</v>
      </c>
      <c r="L1205" t="str">
        <f>"16/09/2021"</f>
        <v>16/09/2021</v>
      </c>
      <c r="M1205" t="str">
        <f>""</f>
        <v/>
      </c>
      <c r="N1205" t="str">
        <f>"Gollo Giovanni Via Vallona 65 35020 Conche di Codevigo PD"</f>
        <v>Gollo Giovanni Via Vallona 65 35020 Conche di Codevigo PD</v>
      </c>
      <c r="O1205" t="str">
        <f>"Gollo Giovanni Via Vallona 65 35020 Conche di Codevigo PD"</f>
        <v>Gollo Giovanni Via Vallona 65 35020 Conche di Codevigo PD</v>
      </c>
      <c r="P1205" t="str">
        <f>"Z9C1AB579C: [102.50€ ]"</f>
        <v>Z9C1AB579C: [102.50€ ]</v>
      </c>
      <c r="Q1205" t="str">
        <f>""</f>
        <v/>
      </c>
      <c r="R1205" t="str">
        <f>""</f>
        <v/>
      </c>
      <c r="S1205" t="str">
        <f>""</f>
        <v/>
      </c>
      <c r="T1205" t="str">
        <f>"https://portaletrasparenza.consorziobacchiglione.it/dettagli/attodigara/603/fornitura-cellophane-da-15-cm-e-50-cm-per-bacino-delta-brenta.html"</f>
        <v>https://portaletrasparenza.consorziobacchiglione.it/dettagli/attodigara/603/fornitura-cellophane-da-15-cm-e-50-cm-per-bacino-delta-brenta.html</v>
      </c>
      <c r="U1205" t="str">
        <f>""</f>
        <v/>
      </c>
      <c r="V120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06" spans="1:22" x14ac:dyDescent="0.3">
      <c r="A1206" t="str">
        <f>"Affidamento"</f>
        <v>Affidamento</v>
      </c>
      <c r="B1206" t="str">
        <f>"Manutenzione e riparazione mezzo con targa: AFW043"</f>
        <v>Manutenzione e riparazione mezzo con targa: AFW043</v>
      </c>
      <c r="C1206" t="str">
        <f>"ZF41AB53E0"</f>
        <v>ZF41AB53E0</v>
      </c>
      <c r="D1206" t="str">
        <f>"04/11/2021"</f>
        <v>04/11/2021</v>
      </c>
      <c r="E1206" t="str">
        <f>""</f>
        <v/>
      </c>
      <c r="F1206" t="str">
        <f>""</f>
        <v/>
      </c>
      <c r="G1206" t="str">
        <f>"331.20"</f>
        <v>331.20</v>
      </c>
      <c r="H1206" t="str">
        <f>"Consorzio di bonifica Bacchiglione"</f>
        <v>Consorzio di bonifica Bacchiglione</v>
      </c>
      <c r="I1206" t="str">
        <f>"92223390284"</f>
        <v>92223390284</v>
      </c>
      <c r="J1206" t="str">
        <f>"23-AFFIDAMENTO DIRETTO"</f>
        <v>23-AFFIDAMENTO DIRETTO</v>
      </c>
      <c r="K1206" t="str">
        <f>"20/07/2021"</f>
        <v>20/07/2021</v>
      </c>
      <c r="L1206" t="str">
        <f>"27/10/2021"</f>
        <v>27/10/2021</v>
      </c>
      <c r="M1206" t="str">
        <f>""</f>
        <v/>
      </c>
      <c r="N1206" t="str">
        <f>"Autoriparazioni Ravazzolo s.r.l. Via Roma 259a 35030 Montemerlo di Cervarese Santa Croce PD"</f>
        <v>Autoriparazioni Ravazzolo s.r.l. Via Roma 259a 35030 Montemerlo di Cervarese Santa Croce PD</v>
      </c>
      <c r="O1206" t="str">
        <f>"Autoriparazioni Ravazzolo s.r.l. Via Roma 259a 35030 Montemerlo di Cervarese Santa Croce PD"</f>
        <v>Autoriparazioni Ravazzolo s.r.l. Via Roma 259a 35030 Montemerlo di Cervarese Santa Croce PD</v>
      </c>
      <c r="P1206" t="str">
        <f>"ZF41AB53E0: [331.20€ ]"</f>
        <v>ZF41AB53E0: [331.20€ ]</v>
      </c>
      <c r="Q1206" t="str">
        <f>""</f>
        <v/>
      </c>
      <c r="R1206" t="str">
        <f>""</f>
        <v/>
      </c>
      <c r="S1206" t="str">
        <f>""</f>
        <v/>
      </c>
      <c r="T1206" t="str">
        <f>"https://portaletrasparenza.consorziobacchiglione.it/dettagli/attodigara/601/manutenzione-e-riparazione-mezzo-con-targa-afw043.html"</f>
        <v>https://portaletrasparenza.consorziobacchiglione.it/dettagli/attodigara/601/manutenzione-e-riparazione-mezzo-con-targa-afw043.html</v>
      </c>
      <c r="U1206" t="str">
        <f>""</f>
        <v/>
      </c>
      <c r="V12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07" spans="1:22" x14ac:dyDescent="0.3">
      <c r="A1207" t="str">
        <f>"Affidamento"</f>
        <v>Affidamento</v>
      </c>
      <c r="B1207" t="str">
        <f>"Fornitura guanti dielettrico per personale di campagna."</f>
        <v>Fornitura guanti dielettrico per personale di campagna.</v>
      </c>
      <c r="C1207" t="str">
        <f>"Z641AB534D"</f>
        <v>Z641AB534D</v>
      </c>
      <c r="D1207" t="str">
        <f>"04/11/2021"</f>
        <v>04/11/2021</v>
      </c>
      <c r="E1207" t="str">
        <f>""</f>
        <v/>
      </c>
      <c r="F1207" t="str">
        <f>""</f>
        <v/>
      </c>
      <c r="G1207" t="str">
        <f>"1127.00"</f>
        <v>1127.00</v>
      </c>
      <c r="H1207" t="str">
        <f>"Consorzio di bonifica Bacchiglione"</f>
        <v>Consorzio di bonifica Bacchiglione</v>
      </c>
      <c r="I1207" t="str">
        <f>"92223390284"</f>
        <v>92223390284</v>
      </c>
      <c r="J1207" t="str">
        <f>"23-AFFIDAMENTO DIRETTO"</f>
        <v>23-AFFIDAMENTO DIRETTO</v>
      </c>
      <c r="K1207" t="str">
        <f>"20/07/2021"</f>
        <v>20/07/2021</v>
      </c>
      <c r="L1207" t="str">
        <f>"27/10/2021"</f>
        <v>27/10/2021</v>
      </c>
      <c r="M1207" t="str">
        <f>""</f>
        <v/>
      </c>
      <c r="N1207" t="str">
        <f>"SIR Safety System S.p.A. Zona Industriale S. Maria degli Angeli 06088 Assisi PG"</f>
        <v>SIR Safety System S.p.A. Zona Industriale S. Maria degli Angeli 06088 Assisi PG</v>
      </c>
      <c r="O1207" t="str">
        <f>"SIR Safety System S.p.A. Zona Industriale S. Maria degli Angeli 06088 Assisi PG"</f>
        <v>SIR Safety System S.p.A. Zona Industriale S. Maria degli Angeli 06088 Assisi PG</v>
      </c>
      <c r="P1207" t="str">
        <f>"Z641AB534D: [1127.00€ ]"</f>
        <v>Z641AB534D: [1127.00€ ]</v>
      </c>
      <c r="Q1207" t="str">
        <f>""</f>
        <v/>
      </c>
      <c r="R1207" t="str">
        <f>""</f>
        <v/>
      </c>
      <c r="S1207" t="str">
        <f>""</f>
        <v/>
      </c>
      <c r="T1207" t="str">
        <f>"https://portaletrasparenza.consorziobacchiglione.it/dettagli/attodigara/600/fornitura-guanti-dielettrico-per-personale-di-campagna.html"</f>
        <v>https://portaletrasparenza.consorziobacchiglione.it/dettagli/attodigara/600/fornitura-guanti-dielettrico-per-personale-di-campagna.html</v>
      </c>
      <c r="U1207" t="str">
        <f>""</f>
        <v/>
      </c>
      <c r="V120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08" spans="1:22" x14ac:dyDescent="0.3">
      <c r="A1208" t="str">
        <f>"Affidamento"</f>
        <v>Affidamento</v>
      </c>
      <c r="B1208" t="str">
        <f>"Fornitura di una sponda in lega per Daily DN881SC."</f>
        <v>Fornitura di una sponda in lega per Daily DN881SC.</v>
      </c>
      <c r="C1208" t="str">
        <f>"Z021AB4893"</f>
        <v>Z021AB4893</v>
      </c>
      <c r="D1208" t="str">
        <f>"04/11/2021"</f>
        <v>04/11/2021</v>
      </c>
      <c r="E1208" t="str">
        <f>""</f>
        <v/>
      </c>
      <c r="F1208" t="str">
        <f>""</f>
        <v/>
      </c>
      <c r="G1208" t="str">
        <f>"385.90"</f>
        <v>385.90</v>
      </c>
      <c r="H1208" t="str">
        <f>"Consorzio di bonifica Bacchiglione"</f>
        <v>Consorzio di bonifica Bacchiglione</v>
      </c>
      <c r="I1208" t="str">
        <f>"92223390284"</f>
        <v>92223390284</v>
      </c>
      <c r="J1208" t="str">
        <f>"23-AFFIDAMENTO DIRETTO"</f>
        <v>23-AFFIDAMENTO DIRETTO</v>
      </c>
      <c r="K1208" t="str">
        <f>"20/07/2021"</f>
        <v>20/07/2021</v>
      </c>
      <c r="L1208" t="str">
        <f>"29/09/2021"</f>
        <v>29/09/2021</v>
      </c>
      <c r="M1208" t="str">
        <f>""</f>
        <v/>
      </c>
      <c r="N1208" t="str">
        <f>"Moressa s.r.l. Via Cuccara 2 35020 Due Carrare PD"</f>
        <v>Moressa s.r.l. Via Cuccara 2 35020 Due Carrare PD</v>
      </c>
      <c r="O1208" t="str">
        <f>"Moressa s.r.l. Via Cuccara 2 35020 Due Carrare PD"</f>
        <v>Moressa s.r.l. Via Cuccara 2 35020 Due Carrare PD</v>
      </c>
      <c r="P1208" t="str">
        <f>"Z021AB4893: [385.90€ ]"</f>
        <v>Z021AB4893: [385.90€ ]</v>
      </c>
      <c r="Q1208" t="str">
        <f>""</f>
        <v/>
      </c>
      <c r="R1208" t="str">
        <f>""</f>
        <v/>
      </c>
      <c r="S1208" t="str">
        <f>""</f>
        <v/>
      </c>
      <c r="T1208" t="str">
        <f>"https://portaletrasparenza.consorziobacchiglione.it/dettagli/attodigara/599/fornitura-di-una-sponda-in-lega-per-daily-dn881sc.html"</f>
        <v>https://portaletrasparenza.consorziobacchiglione.it/dettagli/attodigara/599/fornitura-di-una-sponda-in-lega-per-daily-dn881sc.html</v>
      </c>
      <c r="U1208" t="str">
        <f>""</f>
        <v/>
      </c>
      <c r="V12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09" spans="1:22" x14ac:dyDescent="0.3">
      <c r="A1209" t="str">
        <f>"Affidamento"</f>
        <v>Affidamento</v>
      </c>
      <c r="B1209" t="str">
        <f>"Fornitura n 1 testata trinciante completa di rotore, rullo, protezione in gomma."</f>
        <v>Fornitura n 1 testata trinciante completa di rotore, rullo, protezione in gomma.</v>
      </c>
      <c r="C1209" t="str">
        <f>"ZD21AB371A"</f>
        <v>ZD21AB371A</v>
      </c>
      <c r="D1209" t="str">
        <f>"04/11/2021"</f>
        <v>04/11/2021</v>
      </c>
      <c r="E1209" t="str">
        <f>""</f>
        <v/>
      </c>
      <c r="F1209" t="str">
        <f>""</f>
        <v/>
      </c>
      <c r="G1209" t="str">
        <f>"5500.00"</f>
        <v>5500.00</v>
      </c>
      <c r="H1209" t="str">
        <f>"Consorzio di bonifica Bacchiglione"</f>
        <v>Consorzio di bonifica Bacchiglione</v>
      </c>
      <c r="I1209" t="str">
        <f>"92223390284"</f>
        <v>92223390284</v>
      </c>
      <c r="J1209" t="str">
        <f>"23-AFFIDAMENTO DIRETTO"</f>
        <v>23-AFFIDAMENTO DIRETTO</v>
      </c>
      <c r="K1209" t="str">
        <f>"20/07/2021"</f>
        <v>20/07/2021</v>
      </c>
      <c r="L1209" t="str">
        <f>"10/08/2021"</f>
        <v>10/08/2021</v>
      </c>
      <c r="M1209" t="str">
        <f>""</f>
        <v/>
      </c>
      <c r="N1209" t="str">
        <f>"Energreen Via Pietre 73 36026 Cagnano di Pojana Maggiore VI"</f>
        <v>Energreen Via Pietre 73 36026 Cagnano di Pojana Maggiore VI</v>
      </c>
      <c r="O1209" t="str">
        <f>"Energreen Via Pietre 73 36026 Cagnano di Pojana Maggiore VI"</f>
        <v>Energreen Via Pietre 73 36026 Cagnano di Pojana Maggiore VI</v>
      </c>
      <c r="P1209" t="str">
        <f>"ZD21AB371A: [5500.00€ ]"</f>
        <v>ZD21AB371A: [5500.00€ ]</v>
      </c>
      <c r="Q1209" t="str">
        <f>""</f>
        <v/>
      </c>
      <c r="R1209" t="str">
        <f>""</f>
        <v/>
      </c>
      <c r="S1209" t="str">
        <f>""</f>
        <v/>
      </c>
      <c r="T1209" t="str">
        <f>"https://portaletrasparenza.consorziobacchiglione.it/dettagli/attodigara/598/fornitura-n-1-testata-trinciante-completa-di-rotore-rullo-protezione-in-gomma.html"</f>
        <v>https://portaletrasparenza.consorziobacchiglione.it/dettagli/attodigara/598/fornitura-n-1-testata-trinciante-completa-di-rotore-rullo-protezione-in-gomma.html</v>
      </c>
      <c r="U1209" t="str">
        <f>""</f>
        <v/>
      </c>
      <c r="V12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10" spans="1:22" x14ac:dyDescent="0.3">
      <c r="A1210" t="str">
        <f>"Affidamento"</f>
        <v>Affidamento</v>
      </c>
      <c r="B1210" t="str">
        <f>"ID 018-15 - COMPLETAMENTO IMPIANTO ALTIPIANO - Fornitura e consegna presso l impianto idrovoro di n.2 cassoni a tenuta stagna del volume utile di 20mc per la raccolta del materiale galleggiante recuperato dallo sgrigliat"</f>
        <v>ID 018-15 - COMPLETAMENTO IMPIANTO ALTIPIANO - Fornitura e consegna presso l impianto idrovoro di n.2 cassoni a tenuta stagna del volume utile di 20mc per la raccolta del materiale galleggiante recuperato dallo sgrigliat</v>
      </c>
      <c r="C1210" t="str">
        <f>"Z6432869E7"</f>
        <v>Z6432869E7</v>
      </c>
      <c r="D1210" t="str">
        <f>"21/07/2021"</f>
        <v>21/07/2021</v>
      </c>
      <c r="E1210" t="str">
        <f>""</f>
        <v/>
      </c>
      <c r="F1210" t="str">
        <f>""</f>
        <v/>
      </c>
      <c r="G1210" t="str">
        <f>"9830.00"</f>
        <v>9830.00</v>
      </c>
      <c r="H1210" t="str">
        <f>"Consorzio di bonifica Bacchiglione"</f>
        <v>Consorzio di bonifica Bacchiglione</v>
      </c>
      <c r="I1210" t="str">
        <f>"92223390284"</f>
        <v>92223390284</v>
      </c>
      <c r="J1210" t="str">
        <f>"23-AFFIDAMENTO DIRETTO"</f>
        <v>23-AFFIDAMENTO DIRETTO</v>
      </c>
      <c r="K1210" t="str">
        <f>"20/07/2021"</f>
        <v>20/07/2021</v>
      </c>
      <c r="L1210" t="str">
        <f>"10/11/2021"</f>
        <v>10/11/2021</v>
      </c>
      <c r="M1210" t="str">
        <f>""</f>
        <v/>
      </c>
      <c r="N1210" t="str">
        <f>"CARNOVALI S.P.A. Container e Compattatori"</f>
        <v>CARNOVALI S.P.A. Container e Compattatori</v>
      </c>
      <c r="O1210" t="str">
        <f>"CARNOVALI S.P.A. Container e Compattatori"</f>
        <v>CARNOVALI S.P.A. Container e Compattatori</v>
      </c>
      <c r="P1210" t="s">
        <v>168</v>
      </c>
      <c r="Q1210" t="str">
        <f>""</f>
        <v/>
      </c>
      <c r="R1210" t="str">
        <f>""</f>
        <v/>
      </c>
      <c r="S1210" t="str">
        <f>""</f>
        <v/>
      </c>
      <c r="T1210" t="s">
        <v>92</v>
      </c>
      <c r="U1210" t="str">
        <f>"https://portaletrasparenza.consorziobacchiglione.it/download/attodigara/7012/63ac45a8d95e0.PDF"</f>
        <v>https://portaletrasparenza.consorziobacchiglione.it/download/attodigara/7012/63ac45a8d95e0.PDF</v>
      </c>
      <c r="V12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11" spans="1:22" x14ac:dyDescent="0.3">
      <c r="A1211" t="str">
        <f>"Affidamento"</f>
        <v>Affidamento</v>
      </c>
      <c r="B1211" t="str">
        <f>"Incarico CSE per i lavori di costruzione del ponticello di Via S. Antonio Abate - Processo ID 007-07."</f>
        <v>Incarico CSE per i lavori di costruzione del ponticello di Via S. Antonio Abate - Processo ID 007-07.</v>
      </c>
      <c r="C1211" t="str">
        <f>"Z833289398"</f>
        <v>Z833289398</v>
      </c>
      <c r="D1211" t="str">
        <f>"21/07/2021"</f>
        <v>21/07/2021</v>
      </c>
      <c r="E1211" t="str">
        <f>""</f>
        <v/>
      </c>
      <c r="F1211" t="str">
        <f>""</f>
        <v/>
      </c>
      <c r="G1211" t="str">
        <f>"728.00"</f>
        <v>728.00</v>
      </c>
      <c r="H1211" t="str">
        <f>"Consorzio di bonifica Bacchiglione"</f>
        <v>Consorzio di bonifica Bacchiglione</v>
      </c>
      <c r="I1211" t="str">
        <f>"92223390284"</f>
        <v>92223390284</v>
      </c>
      <c r="J1211" t="str">
        <f>"23-AFFIDAMENTO DIRETTO"</f>
        <v>23-AFFIDAMENTO DIRETTO</v>
      </c>
      <c r="K1211" t="str">
        <f>"20/07/2021"</f>
        <v>20/07/2021</v>
      </c>
      <c r="L1211" t="str">
        <f>"31/12/2021"</f>
        <v>31/12/2021</v>
      </c>
      <c r="M1211" t="str">
        <f>""</f>
        <v/>
      </c>
      <c r="N1211" t="str">
        <f>"Ing. FABIO MURARO"</f>
        <v>Ing. FABIO MURARO</v>
      </c>
      <c r="O1211" t="str">
        <f>"Ing. FABIO MURARO"</f>
        <v>Ing. FABIO MURARO</v>
      </c>
      <c r="P1211" t="str">
        <f>"Z833289398: [0.00€ ]"</f>
        <v>Z833289398: [0.00€ ]</v>
      </c>
      <c r="Q1211" t="str">
        <f>""</f>
        <v/>
      </c>
      <c r="R1211" t="str">
        <f>""</f>
        <v/>
      </c>
      <c r="S1211" t="str">
        <f>""</f>
        <v/>
      </c>
      <c r="T1211" t="str">
        <f>"https://portaletrasparenza.consorziobacchiglione.it/dettagli/attodigara/7013/incarico-cse-per-i-lavori-di-costruzione-del-ponticello-di-via-s-antonio-abate-processo-id-007-07.html"</f>
        <v>https://portaletrasparenza.consorziobacchiglione.it/dettagli/attodigara/7013/incarico-cse-per-i-lavori-di-costruzione-del-ponticello-di-via-s-antonio-abate-processo-id-007-07.html</v>
      </c>
      <c r="U1211" t="str">
        <f>"https://portaletrasparenza.consorziobacchiglione.it/download/attodigara/7013/62a20a3c9e82f.PDF"</f>
        <v>https://portaletrasparenza.consorziobacchiglione.it/download/attodigara/7013/62a20a3c9e82f.PDF</v>
      </c>
      <c r="V1211">
        <f>(SUBSTITUTE(Tabella1[[#This Row],[Importo di aggiudicazione]],".",","))-(SUBSTITUTE(  SUBSTITUTE(          SUBSTITUTE(Tabella1[[#This Row],[Dettaglio somme liquidate]],Tabella1[[#This Row],[CIG]]&amp;": [",""),"€ ]",""),".",","))</f>
        <v>728</v>
      </c>
    </row>
    <row r="1212" spans="1:22" x14ac:dyDescent="0.3">
      <c r="A1212" t="str">
        <f>"Affidamento"</f>
        <v>Affidamento</v>
      </c>
      <c r="B1212" t="str">
        <f>"Fornitura ricambi per decespugliatore presso C.O.S.Margherita"</f>
        <v>Fornitura ricambi per decespugliatore presso C.O.S.Margherita</v>
      </c>
      <c r="C1212" t="str">
        <f>"Z3132CCC85"</f>
        <v>Z3132CCC85</v>
      </c>
      <c r="D1212" t="str">
        <f>"23/08/2021"</f>
        <v>23/08/2021</v>
      </c>
      <c r="E1212" t="str">
        <f>""</f>
        <v/>
      </c>
      <c r="F1212" t="str">
        <f>""</f>
        <v/>
      </c>
      <c r="G1212" t="str">
        <f>"25.41"</f>
        <v>25.41</v>
      </c>
      <c r="H1212" t="str">
        <f>"Consorzio di bonifica Bacchiglione"</f>
        <v>Consorzio di bonifica Bacchiglione</v>
      </c>
      <c r="I1212" t="str">
        <f>"92223390284"</f>
        <v>92223390284</v>
      </c>
      <c r="J1212" t="str">
        <f>"23-AFFIDAMENTO DIRETTO"</f>
        <v>23-AFFIDAMENTO DIRETTO</v>
      </c>
      <c r="K1212" t="str">
        <f>"20/08/2021"</f>
        <v>20/08/2021</v>
      </c>
      <c r="L1212" t="str">
        <f>"02/09/2021"</f>
        <v>02/09/2021</v>
      </c>
      <c r="M1212" t="str">
        <f>""</f>
        <v/>
      </c>
      <c r="N1212" t="str">
        <f>"Mini Motor di Vettorato Gabriele Via Puccini 3 35020 Brugine PD"</f>
        <v>Mini Motor di Vettorato Gabriele Via Puccini 3 35020 Brugine PD</v>
      </c>
      <c r="O1212" t="str">
        <f>"Mini Motor di Vettorato Gabriele Via Puccini 3 35020 Brugine PD"</f>
        <v>Mini Motor di Vettorato Gabriele Via Puccini 3 35020 Brugine PD</v>
      </c>
      <c r="P1212" t="str">
        <f>"Z3132CCC85: [25.41€ ]"</f>
        <v>Z3132CCC85: [25.41€ ]</v>
      </c>
      <c r="Q1212" t="str">
        <f>""</f>
        <v/>
      </c>
      <c r="R1212" t="str">
        <f>""</f>
        <v/>
      </c>
      <c r="S1212" t="str">
        <f>""</f>
        <v/>
      </c>
      <c r="T1212" t="str">
        <f>"https://portaletrasparenza.consorziobacchiglione.it/dettagli/attodigara/7079/fornitura-ricambi-per-decespugliatore-presso-c-o-s-margherita.html"</f>
        <v>https://portaletrasparenza.consorziobacchiglione.it/dettagli/attodigara/7079/fornitura-ricambi-per-decespugliatore-presso-c-o-s-margherita.html</v>
      </c>
      <c r="U1212" t="str">
        <f>"https://portaletrasparenza.consorziobacchiglione.it/download/attodigara/7079/63ac45b7e5047.PDF"</f>
        <v>https://portaletrasparenza.consorziobacchiglione.it/download/attodigara/7079/63ac45b7e5047.PDF</v>
      </c>
      <c r="V12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13" spans="1:22" x14ac:dyDescent="0.3">
      <c r="A1213" t="str">
        <f>"Affidamento"</f>
        <v>Affidamento</v>
      </c>
      <c r="B1213" t="str">
        <f>"Rinnovo annuale Licenze Adobe Photoshop CC e Adobe Premiere Pro"</f>
        <v>Rinnovo annuale Licenze Adobe Photoshop CC e Adobe Premiere Pro</v>
      </c>
      <c r="C1213" t="str">
        <f>"ZCF32CCBF7"</f>
        <v>ZCF32CCBF7</v>
      </c>
      <c r="D1213" t="str">
        <f>"23/08/2021"</f>
        <v>23/08/2021</v>
      </c>
      <c r="E1213" t="str">
        <f>""</f>
        <v/>
      </c>
      <c r="F1213" t="str">
        <f>""</f>
        <v/>
      </c>
      <c r="G1213" t="str">
        <f>"2528.00"</f>
        <v>2528.00</v>
      </c>
      <c r="H1213" t="str">
        <f>"Consorzio di bonifica Bacchiglione"</f>
        <v>Consorzio di bonifica Bacchiglione</v>
      </c>
      <c r="I1213" t="str">
        <f>"92223390284"</f>
        <v>92223390284</v>
      </c>
      <c r="J1213" t="str">
        <f>"23-AFFIDAMENTO DIRETTO"</f>
        <v>23-AFFIDAMENTO DIRETTO</v>
      </c>
      <c r="K1213" t="str">
        <f>"20/08/2021"</f>
        <v>20/08/2021</v>
      </c>
      <c r="L1213" t="str">
        <f>"31/12/2021"</f>
        <v>31/12/2021</v>
      </c>
      <c r="M1213" t="str">
        <f>""</f>
        <v/>
      </c>
      <c r="N1213" t="str">
        <f>"TPH Elettronica s.a.s. Via N. Pizzolo 51A 35132 Padova"</f>
        <v>TPH Elettronica s.a.s. Via N. Pizzolo 51A 35132 Padova</v>
      </c>
      <c r="O1213" t="str">
        <f>"TPH Elettronica s.a.s. Via N. Pizzolo 51A 35132 Padova"</f>
        <v>TPH Elettronica s.a.s. Via N. Pizzolo 51A 35132 Padova</v>
      </c>
      <c r="P1213" t="str">
        <f>"ZCF32CCBF7: [2528.00€ ]"</f>
        <v>ZCF32CCBF7: [2528.00€ ]</v>
      </c>
      <c r="Q1213" t="str">
        <f>""</f>
        <v/>
      </c>
      <c r="R1213" t="str">
        <f>""</f>
        <v/>
      </c>
      <c r="S1213" t="str">
        <f>""</f>
        <v/>
      </c>
      <c r="T1213" t="str">
        <f>"https://portaletrasparenza.consorziobacchiglione.it/dettagli/attodigara/7078/rinnovo-annuale-licenze-adobe-photoshop-cc-e-adobe-premiere-pro.html"</f>
        <v>https://portaletrasparenza.consorziobacchiglione.it/dettagli/attodigara/7078/rinnovo-annuale-licenze-adobe-photoshop-cc-e-adobe-premiere-pro.html</v>
      </c>
      <c r="U1213" t="str">
        <f>"https://portaletrasparenza.consorziobacchiglione.it/download/attodigara/7078/63ac45b7ac3d3.PDF"</f>
        <v>https://portaletrasparenza.consorziobacchiglione.it/download/attodigara/7078/63ac45b7ac3d3.PDF</v>
      </c>
      <c r="V12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14" spans="1:22" x14ac:dyDescent="0.3">
      <c r="A1214" t="str">
        <f>"Affidamento"</f>
        <v>Affidamento</v>
      </c>
      <c r="B1214" t="str">
        <f>"Fornitura materiale di ferramenta per vari Impianti."</f>
        <v>Fornitura materiale di ferramenta per vari Impianti.</v>
      </c>
      <c r="C1214" t="str">
        <f>"Z8F1B3D5BA"</f>
        <v>Z8F1B3D5BA</v>
      </c>
      <c r="D1214" t="str">
        <f>"04/11/2021"</f>
        <v>04/11/2021</v>
      </c>
      <c r="E1214" t="str">
        <f>""</f>
        <v/>
      </c>
      <c r="F1214" t="str">
        <f>""</f>
        <v/>
      </c>
      <c r="G1214" t="str">
        <f>"143.30"</f>
        <v>143.30</v>
      </c>
      <c r="H1214" t="str">
        <f>"Consorzio di bonifica Bacchiglione"</f>
        <v>Consorzio di bonifica Bacchiglione</v>
      </c>
      <c r="I1214" t="str">
        <f>"92223390284"</f>
        <v>92223390284</v>
      </c>
      <c r="J1214" t="str">
        <f>"23-AFFIDAMENTO DIRETTO"</f>
        <v>23-AFFIDAMENTO DIRETTO</v>
      </c>
      <c r="K1214" t="str">
        <f>"20/09/2021"</f>
        <v>20/09/2021</v>
      </c>
      <c r="L1214" t="str">
        <f>"27/10/2021"</f>
        <v>27/10/2021</v>
      </c>
      <c r="M1214" t="str">
        <f>""</f>
        <v/>
      </c>
      <c r="N1214" t="str">
        <f>"Gollo Giovanni Via Vallona 65 35020 Conche di Codevigo PD"</f>
        <v>Gollo Giovanni Via Vallona 65 35020 Conche di Codevigo PD</v>
      </c>
      <c r="O1214" t="str">
        <f>"Gollo Giovanni Via Vallona 65 35020 Conche di Codevigo PD"</f>
        <v>Gollo Giovanni Via Vallona 65 35020 Conche di Codevigo PD</v>
      </c>
      <c r="P1214" t="str">
        <f>"Z8F1B3D5BA: [143.30€ ]"</f>
        <v>Z8F1B3D5BA: [143.30€ ]</v>
      </c>
      <c r="Q1214" t="str">
        <f>""</f>
        <v/>
      </c>
      <c r="R1214" t="str">
        <f>""</f>
        <v/>
      </c>
      <c r="S1214" t="str">
        <f>""</f>
        <v/>
      </c>
      <c r="T1214" t="str">
        <f>"https://portaletrasparenza.consorziobacchiglione.it/dettagli/attodigara/752/fornitura-materiale-di-ferramenta-per-vari-impianti.html"</f>
        <v>https://portaletrasparenza.consorziobacchiglione.it/dettagli/attodigara/752/fornitura-materiale-di-ferramenta-per-vari-impianti.html</v>
      </c>
      <c r="U1214" t="str">
        <f>""</f>
        <v/>
      </c>
      <c r="V121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15" spans="1:22" x14ac:dyDescent="0.3">
      <c r="A1215" t="str">
        <f>"Affidamento"</f>
        <v>Affidamento</v>
      </c>
      <c r="B1215" t="str">
        <f>"Spostamento e smaltimento rosta da vari Impianti Bacino Sesta Presa."</f>
        <v>Spostamento e smaltimento rosta da vari Impianti Bacino Sesta Presa.</v>
      </c>
      <c r="C1215" t="str">
        <f>"Z4D1B3D3A0"</f>
        <v>Z4D1B3D3A0</v>
      </c>
      <c r="D1215" t="str">
        <f>"04/11/2021"</f>
        <v>04/11/2021</v>
      </c>
      <c r="E1215" t="str">
        <f>""</f>
        <v/>
      </c>
      <c r="F1215" t="str">
        <f>""</f>
        <v/>
      </c>
      <c r="G1215" t="str">
        <f>"3876.00"</f>
        <v>3876.00</v>
      </c>
      <c r="H1215" t="str">
        <f>"Consorzio di bonifica Bacchiglione"</f>
        <v>Consorzio di bonifica Bacchiglione</v>
      </c>
      <c r="I1215" t="str">
        <f>"92223390284"</f>
        <v>92223390284</v>
      </c>
      <c r="J1215" t="str">
        <f>"23-AFFIDAMENTO DIRETTO"</f>
        <v>23-AFFIDAMENTO DIRETTO</v>
      </c>
      <c r="K1215" t="str">
        <f>"20/09/2021"</f>
        <v>20/09/2021</v>
      </c>
      <c r="L1215" t="str">
        <f>"14/10/2021"</f>
        <v>14/10/2021</v>
      </c>
      <c r="M1215" t="str">
        <f>""</f>
        <v/>
      </c>
      <c r="N1215" t="str">
        <f>"Viale Valter Via 1° Maggio 124 30010 Campagna Lupia VE"</f>
        <v>Viale Valter Via 1° Maggio 124 30010 Campagna Lupia VE</v>
      </c>
      <c r="O1215" t="str">
        <f>"Viale Valter Via 1° Maggio 124 30010 Campagna Lupia VE"</f>
        <v>Viale Valter Via 1° Maggio 124 30010 Campagna Lupia VE</v>
      </c>
      <c r="P1215" t="str">
        <f>"Z4D1B3D3A0: [3876.00€ ]"</f>
        <v>Z4D1B3D3A0: [3876.00€ ]</v>
      </c>
      <c r="Q1215" t="str">
        <f>""</f>
        <v/>
      </c>
      <c r="R1215" t="str">
        <f>""</f>
        <v/>
      </c>
      <c r="S1215" t="str">
        <f>""</f>
        <v/>
      </c>
      <c r="T1215" t="str">
        <f>"https://portaletrasparenza.consorziobacchiglione.it/dettagli/attodigara/751/spostamento-e-smaltimento-rosta-da-vari-impianti-bacino-sesta-presa.html"</f>
        <v>https://portaletrasparenza.consorziobacchiglione.it/dettagli/attodigara/751/spostamento-e-smaltimento-rosta-da-vari-impianti-bacino-sesta-presa.html</v>
      </c>
      <c r="U1215" t="str">
        <f>""</f>
        <v/>
      </c>
      <c r="V121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16" spans="1:22" x14ac:dyDescent="0.3">
      <c r="A1216" t="str">
        <f>"Affidamento"</f>
        <v>Affidamento</v>
      </c>
      <c r="B1216" t="str">
        <f>"Fornitura materiale elettrico per Bacino Sesta Presa."</f>
        <v>Fornitura materiale elettrico per Bacino Sesta Presa.</v>
      </c>
      <c r="C1216" t="str">
        <f>"Z771B3D233"</f>
        <v>Z771B3D233</v>
      </c>
      <c r="D1216" t="str">
        <f>"04/11/2021"</f>
        <v>04/11/2021</v>
      </c>
      <c r="E1216" t="str">
        <f>""</f>
        <v/>
      </c>
      <c r="F1216" t="str">
        <f>""</f>
        <v/>
      </c>
      <c r="G1216" t="str">
        <f>"340.22"</f>
        <v>340.22</v>
      </c>
      <c r="H1216" t="str">
        <f>"Consorzio di bonifica Bacchiglione"</f>
        <v>Consorzio di bonifica Bacchiglione</v>
      </c>
      <c r="I1216" t="str">
        <f>"92223390284"</f>
        <v>92223390284</v>
      </c>
      <c r="J1216" t="str">
        <f>"23-AFFIDAMENTO DIRETTO"</f>
        <v>23-AFFIDAMENTO DIRETTO</v>
      </c>
      <c r="K1216" t="str">
        <f>"20/09/2021"</f>
        <v>20/09/2021</v>
      </c>
      <c r="L1216" t="str">
        <f>"09/11/2021"</f>
        <v>09/11/2021</v>
      </c>
      <c r="M1216" t="str">
        <f>""</f>
        <v/>
      </c>
      <c r="N1216" t="str">
        <f>"Elettroveneta S.p.A. Viale della Navigazione Interna, 48 - 35129 Padova (PD)"</f>
        <v>Elettroveneta S.p.A. Viale della Navigazione Interna, 48 - 35129 Padova (PD)</v>
      </c>
      <c r="O1216" t="str">
        <f>"Elettroveneta S.p.A. Viale della Navigazione Interna, 48 - 35129 Padova (PD)"</f>
        <v>Elettroveneta S.p.A. Viale della Navigazione Interna, 48 - 35129 Padova (PD)</v>
      </c>
      <c r="P1216" t="str">
        <f>"Z771B3D233: [340.22€ ]"</f>
        <v>Z771B3D233: [340.22€ ]</v>
      </c>
      <c r="Q1216" t="str">
        <f>""</f>
        <v/>
      </c>
      <c r="R1216" t="str">
        <f>""</f>
        <v/>
      </c>
      <c r="S1216" t="str">
        <f>""</f>
        <v/>
      </c>
      <c r="T1216" t="str">
        <f>"https://portaletrasparenza.consorziobacchiglione.it/dettagli/attodigara/750/fornitura-materiale-elettrico-per-bacino-sesta-presa.html"</f>
        <v>https://portaletrasparenza.consorziobacchiglione.it/dettagli/attodigara/750/fornitura-materiale-elettrico-per-bacino-sesta-presa.html</v>
      </c>
      <c r="U1216" t="str">
        <f>""</f>
        <v/>
      </c>
      <c r="V121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17" spans="1:22" x14ac:dyDescent="0.3">
      <c r="A1217" t="str">
        <f>"Affidamento"</f>
        <v>Affidamento</v>
      </c>
      <c r="B1217" t="str">
        <f>"Noleggio vibroinfissore piantapalo Furukawa per lavori scolo Rialto."</f>
        <v>Noleggio vibroinfissore piantapalo Furukawa per lavori scolo Rialto.</v>
      </c>
      <c r="C1217" t="str">
        <f>"Z201B3D14D"</f>
        <v>Z201B3D14D</v>
      </c>
      <c r="D1217" t="str">
        <f>"04/11/2021"</f>
        <v>04/11/2021</v>
      </c>
      <c r="E1217" t="str">
        <f>""</f>
        <v/>
      </c>
      <c r="F1217" t="str">
        <f>""</f>
        <v/>
      </c>
      <c r="G1217" t="str">
        <f>"480.00"</f>
        <v>480.00</v>
      </c>
      <c r="H1217" t="str">
        <f>"Consorzio di bonifica Bacchiglione"</f>
        <v>Consorzio di bonifica Bacchiglione</v>
      </c>
      <c r="I1217" t="str">
        <f>"92223390284"</f>
        <v>92223390284</v>
      </c>
      <c r="J1217" t="str">
        <f>"23-AFFIDAMENTO DIRETTO"</f>
        <v>23-AFFIDAMENTO DIRETTO</v>
      </c>
      <c r="K1217" t="str">
        <f>"20/09/2021"</f>
        <v>20/09/2021</v>
      </c>
      <c r="L1217" t="str">
        <f>"15/11/2021"</f>
        <v>15/11/2021</v>
      </c>
      <c r="M1217" t="str">
        <f>""</f>
        <v/>
      </c>
      <c r="N1217" t="str">
        <f>"Sorme s.n.c. Via Monache 21 35030 Selvazzano Dentro PD"</f>
        <v>Sorme s.n.c. Via Monache 21 35030 Selvazzano Dentro PD</v>
      </c>
      <c r="O1217" t="str">
        <f>"Sorme s.n.c. Via Monache 21 35030 Selvazzano Dentro PD"</f>
        <v>Sorme s.n.c. Via Monache 21 35030 Selvazzano Dentro PD</v>
      </c>
      <c r="P1217" t="str">
        <f>"Z201B3D14D: [480.00€ ]"</f>
        <v>Z201B3D14D: [480.00€ ]</v>
      </c>
      <c r="Q1217" t="str">
        <f>""</f>
        <v/>
      </c>
      <c r="R1217" t="str">
        <f>""</f>
        <v/>
      </c>
      <c r="S1217" t="str">
        <f>""</f>
        <v/>
      </c>
      <c r="T1217" t="str">
        <f>"https://portaletrasparenza.consorziobacchiglione.it/dettagli/attodigara/749/noleggio-vibroinfissore-piantapalo-furukawa-per-lavori-scolo-rialto.html"</f>
        <v>https://portaletrasparenza.consorziobacchiglione.it/dettagli/attodigara/749/noleggio-vibroinfissore-piantapalo-furukawa-per-lavori-scolo-rialto.html</v>
      </c>
      <c r="U1217" t="str">
        <f>""</f>
        <v/>
      </c>
      <c r="V121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18" spans="1:22" x14ac:dyDescent="0.3">
      <c r="A1218" t="str">
        <f>"Affidamento"</f>
        <v>Affidamento</v>
      </c>
      <c r="B1218" t="str">
        <f>"Sistemazione fossato su Via Montecchia in corrispondenza del manufatto E1. - Processo ID 007-03."</f>
        <v>Sistemazione fossato su Via Montecchia in corrispondenza del manufatto E1. - Processo ID 007-03.</v>
      </c>
      <c r="C1218" t="str">
        <f>"Z6D1B40D46"</f>
        <v>Z6D1B40D46</v>
      </c>
      <c r="D1218" t="str">
        <f>"04/11/2021"</f>
        <v>04/11/2021</v>
      </c>
      <c r="E1218" t="str">
        <f>""</f>
        <v/>
      </c>
      <c r="F1218" t="str">
        <f>""</f>
        <v/>
      </c>
      <c r="G1218" t="str">
        <f>"7877.51"</f>
        <v>7877.51</v>
      </c>
      <c r="H1218" t="str">
        <f>"Consorzio di bonifica Bacchiglione"</f>
        <v>Consorzio di bonifica Bacchiglione</v>
      </c>
      <c r="I1218" t="str">
        <f>"92223390284"</f>
        <v>92223390284</v>
      </c>
      <c r="J1218" t="str">
        <f>"23-AFFIDAMENTO DIRETTO"</f>
        <v>23-AFFIDAMENTO DIRETTO</v>
      </c>
      <c r="K1218" t="str">
        <f>"20/09/2021"</f>
        <v>20/09/2021</v>
      </c>
      <c r="L1218" t="str">
        <f>"15/10/2021"</f>
        <v>15/10/2021</v>
      </c>
      <c r="M1218" t="str">
        <f>""</f>
        <v/>
      </c>
      <c r="N1218" t="str">
        <f>"Costruzioni Ing. Carlo Broetto s.r.l. con Unico Socio"</f>
        <v>Costruzioni Ing. Carlo Broetto s.r.l. con Unico Socio</v>
      </c>
      <c r="O1218" t="str">
        <f>"Costruzioni Ing. Carlo Broetto s.r.l. con Unico Socio"</f>
        <v>Costruzioni Ing. Carlo Broetto s.r.l. con Unico Socio</v>
      </c>
      <c r="P1218" t="str">
        <f>"Z6D1B40D46: [7877.51€ ]"</f>
        <v>Z6D1B40D46: [7877.51€ ]</v>
      </c>
      <c r="Q1218" t="str">
        <f>""</f>
        <v/>
      </c>
      <c r="R1218" t="str">
        <f>""</f>
        <v/>
      </c>
      <c r="S1218" t="str">
        <f>""</f>
        <v/>
      </c>
      <c r="T1218" t="str">
        <f>"https://portaletrasparenza.consorziobacchiglione.it/dettagli/attodigara/748/sistemazione-fossato-su-via-montecchia-in-corrispondenza-del-manufatto-e1-processo-id-007-03.html"</f>
        <v>https://portaletrasparenza.consorziobacchiglione.it/dettagli/attodigara/748/sistemazione-fossato-su-via-montecchia-in-corrispondenza-del-manufatto-e1-processo-id-007-03.html</v>
      </c>
      <c r="U1218" t="str">
        <f>""</f>
        <v/>
      </c>
      <c r="V121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19" spans="1:22" x14ac:dyDescent="0.3">
      <c r="A1219" t="str">
        <f>"Affidamento"</f>
        <v>Affidamento</v>
      </c>
      <c r="B1219" t="str">
        <f>"Effettuazione prelievo ed analisi chimiche su campioni di terreno."</f>
        <v>Effettuazione prelievo ed analisi chimiche su campioni di terreno.</v>
      </c>
      <c r="C1219" t="str">
        <f>"ZF6331ADCA"</f>
        <v>ZF6331ADCA</v>
      </c>
      <c r="D1219" t="str">
        <f>"20/09/2021"</f>
        <v>20/09/2021</v>
      </c>
      <c r="E1219" t="str">
        <f>""</f>
        <v/>
      </c>
      <c r="F1219" t="str">
        <f>""</f>
        <v/>
      </c>
      <c r="G1219" t="str">
        <f>"440.00"</f>
        <v>440.00</v>
      </c>
      <c r="H1219" t="str">
        <f>"Consorzio di bonifica Bacchiglione"</f>
        <v>Consorzio di bonifica Bacchiglione</v>
      </c>
      <c r="I1219" t="str">
        <f>"92223390284"</f>
        <v>92223390284</v>
      </c>
      <c r="J1219" t="str">
        <f>"23-AFFIDAMENTO DIRETTO"</f>
        <v>23-AFFIDAMENTO DIRETTO</v>
      </c>
      <c r="K1219" t="str">
        <f>"20/09/2021"</f>
        <v>20/09/2021</v>
      </c>
      <c r="L1219" t="str">
        <f>"25/11/2021"</f>
        <v>25/11/2021</v>
      </c>
      <c r="M1219" t="str">
        <f>""</f>
        <v/>
      </c>
      <c r="N1219" t="str">
        <f>"Innovazione Chimica s.r.l."</f>
        <v>Innovazione Chimica s.r.l.</v>
      </c>
      <c r="O1219" t="str">
        <f>"Innovazione Chimica s.r.l."</f>
        <v>Innovazione Chimica s.r.l.</v>
      </c>
      <c r="P1219" t="s">
        <v>273</v>
      </c>
      <c r="Q1219" t="str">
        <f>""</f>
        <v/>
      </c>
      <c r="R1219" t="str">
        <f>""</f>
        <v/>
      </c>
      <c r="S1219" t="str">
        <f>""</f>
        <v/>
      </c>
      <c r="T1219" t="str">
        <f>"https://portaletrasparenza.consorziobacchiglione.it/dettagli/attodigara/7153/effettuazione-prelievo-ed-analisi-chimiche-su-campioni-di-terreno.html"</f>
        <v>https://portaletrasparenza.consorziobacchiglione.it/dettagli/attodigara/7153/effettuazione-prelievo-ed-analisi-chimiche-su-campioni-di-terreno.html</v>
      </c>
      <c r="U1219" t="str">
        <f>"https://portaletrasparenza.consorziobacchiglione.it/download/attodigara/7153/63ac45c776a6a.PDF"</f>
        <v>https://portaletrasparenza.consorziobacchiglione.it/download/attodigara/7153/63ac45c776a6a.PDF</v>
      </c>
      <c r="V121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20" spans="1:22" x14ac:dyDescent="0.3">
      <c r="A1220" t="str">
        <f>"Affidamento"</f>
        <v>Affidamento</v>
      </c>
      <c r="B1220" t="str">
        <f>"Fornitura materiale elettrico per vari Impianti"</f>
        <v>Fornitura materiale elettrico per vari Impianti</v>
      </c>
      <c r="C1220" t="str">
        <f>"Z49331B41B"</f>
        <v>Z49331B41B</v>
      </c>
      <c r="D1220" t="str">
        <f>"21/09/2021"</f>
        <v>21/09/2021</v>
      </c>
      <c r="E1220" t="str">
        <f>""</f>
        <v/>
      </c>
      <c r="F1220" t="str">
        <f>""</f>
        <v/>
      </c>
      <c r="G1220" t="str">
        <f>"2148.07"</f>
        <v>2148.07</v>
      </c>
      <c r="H1220" t="str">
        <f>"Consorzio di bonifica Bacchiglione"</f>
        <v>Consorzio di bonifica Bacchiglione</v>
      </c>
      <c r="I1220" t="str">
        <f>"92223390284"</f>
        <v>92223390284</v>
      </c>
      <c r="J1220" t="str">
        <f>"23-AFFIDAMENTO DIRETTO"</f>
        <v>23-AFFIDAMENTO DIRETTO</v>
      </c>
      <c r="K1220" t="str">
        <f>"20/09/2021"</f>
        <v>20/09/2021</v>
      </c>
      <c r="L1220" t="str">
        <f>"31/10/2021"</f>
        <v>31/10/2021</v>
      </c>
      <c r="M1220" t="str">
        <f>""</f>
        <v/>
      </c>
      <c r="N1220" t="str">
        <f>"Elettroveneta S.p.A. Viale della Navigazione Interna, 48 - 35129 Padova (PD)"</f>
        <v>Elettroveneta S.p.A. Viale della Navigazione Interna, 48 - 35129 Padova (PD)</v>
      </c>
      <c r="O1220" t="str">
        <f>"Elettroveneta S.p.A. Viale della Navigazione Interna, 48 - 35129 Padova (PD)"</f>
        <v>Elettroveneta S.p.A. Viale della Navigazione Interna, 48 - 35129 Padova (PD)</v>
      </c>
      <c r="P1220" t="s">
        <v>214</v>
      </c>
      <c r="Q1220" t="str">
        <f>""</f>
        <v/>
      </c>
      <c r="R1220" t="str">
        <f>""</f>
        <v/>
      </c>
      <c r="S1220" t="str">
        <f>""</f>
        <v/>
      </c>
      <c r="T1220" t="str">
        <f>"https://portaletrasparenza.consorziobacchiglione.it/dettagli/attodigara/7154/fornitura-materiale-elettrico-per-vari-impianti.html"</f>
        <v>https://portaletrasparenza.consorziobacchiglione.it/dettagli/attodigara/7154/fornitura-materiale-elettrico-per-vari-impianti.html</v>
      </c>
      <c r="U1220" t="str">
        <f>"https://portaletrasparenza.consorziobacchiglione.it/download/attodigara/7154/63ac45c958545.PDF"</f>
        <v>https://portaletrasparenza.consorziobacchiglione.it/download/attodigara/7154/63ac45c958545.PDF</v>
      </c>
      <c r="V122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21" spans="1:22" x14ac:dyDescent="0.3">
      <c r="A1221" t="str">
        <f>"Affidamento"</f>
        <v>Affidamento</v>
      </c>
      <c r="B1221" t="str">
        <f>"Manutenzione e riparazione mezzo targato: ALA152"</f>
        <v>Manutenzione e riparazione mezzo targato: ALA152</v>
      </c>
      <c r="C1221" t="str">
        <f>"Z8A3318EB8"</f>
        <v>Z8A3318EB8</v>
      </c>
      <c r="D1221" t="str">
        <f>"21/09/2021"</f>
        <v>21/09/2021</v>
      </c>
      <c r="E1221" t="str">
        <f>""</f>
        <v/>
      </c>
      <c r="F1221" t="str">
        <f>""</f>
        <v/>
      </c>
      <c r="G1221" t="str">
        <f>"1766.35"</f>
        <v>1766.35</v>
      </c>
      <c r="H1221" t="str">
        <f>"Consorzio di bonifica Bacchiglione"</f>
        <v>Consorzio di bonifica Bacchiglione</v>
      </c>
      <c r="I1221" t="str">
        <f>"92223390284"</f>
        <v>92223390284</v>
      </c>
      <c r="J1221" t="str">
        <f>"23-AFFIDAMENTO DIRETTO"</f>
        <v>23-AFFIDAMENTO DIRETTO</v>
      </c>
      <c r="K1221" t="str">
        <f>"20/09/2021"</f>
        <v>20/09/2021</v>
      </c>
      <c r="L1221" t="str">
        <f>"12/10/2021"</f>
        <v>12/10/2021</v>
      </c>
      <c r="M1221" t="str">
        <f>""</f>
        <v/>
      </c>
      <c r="N1221" t="str">
        <f>"Adriatica Commerciale Macchine s.r.l. Via dell'Artigianato 5 35020 Due Carrare PD"</f>
        <v>Adriatica Commerciale Macchine s.r.l. Via dell'Artigianato 5 35020 Due Carrare PD</v>
      </c>
      <c r="O1221" t="str">
        <f>"Adriatica Commerciale Macchine s.r.l. Via dell'Artigianato 5 35020 Due Carrare PD"</f>
        <v>Adriatica Commerciale Macchine s.r.l. Via dell'Artigianato 5 35020 Due Carrare PD</v>
      </c>
      <c r="P1221" t="s">
        <v>222</v>
      </c>
      <c r="Q1221" t="str">
        <f>""</f>
        <v/>
      </c>
      <c r="R1221" t="str">
        <f>""</f>
        <v/>
      </c>
      <c r="S1221" t="str">
        <f>""</f>
        <v/>
      </c>
      <c r="T1221" t="str">
        <f>"https://portaletrasparenza.consorziobacchiglione.it/dettagli/attodigara/7152/manutenzione-e-riparazione-mezzo-targato-ala152.html"</f>
        <v>https://portaletrasparenza.consorziobacchiglione.it/dettagli/attodigara/7152/manutenzione-e-riparazione-mezzo-targato-ala152.html</v>
      </c>
      <c r="U1221" t="str">
        <f>"https://portaletrasparenza.consorziobacchiglione.it/download/attodigara/7152/63ac45c91d203.PDF"</f>
        <v>https://portaletrasparenza.consorziobacchiglione.it/download/attodigara/7152/63ac45c91d203.PDF</v>
      </c>
      <c r="V12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22" spans="1:22" x14ac:dyDescent="0.3">
      <c r="A1222" t="str">
        <f>"Affidamento"</f>
        <v>Affidamento</v>
      </c>
      <c r="B1222" t="str">
        <f>"Riparazione e manutenzione mezzi con targa: EP107XC, DS716AA, DS718AA, DN881SC."</f>
        <v>Riparazione e manutenzione mezzi con targa: EP107XC, DS716AA, DS718AA, DN881SC.</v>
      </c>
      <c r="C1222" t="str">
        <f>"ZB01BAA8FE"</f>
        <v>ZB01BAA8FE</v>
      </c>
      <c r="D1222" t="str">
        <f>"04/11/2021"</f>
        <v>04/11/2021</v>
      </c>
      <c r="E1222" t="str">
        <f>""</f>
        <v/>
      </c>
      <c r="F1222" t="str">
        <f>""</f>
        <v/>
      </c>
      <c r="G1222" t="str">
        <f>"630.84"</f>
        <v>630.84</v>
      </c>
      <c r="H1222" t="str">
        <f>"Consorzio di bonifica Bacchiglione"</f>
        <v>Consorzio di bonifica Bacchiglione</v>
      </c>
      <c r="I1222" t="str">
        <f>"92223390284"</f>
        <v>92223390284</v>
      </c>
      <c r="J1222" t="str">
        <f>"23-AFFIDAMENTO DIRETTO"</f>
        <v>23-AFFIDAMENTO DIRETTO</v>
      </c>
      <c r="K1222" t="str">
        <f>"20/10/2021"</f>
        <v>20/10/2021</v>
      </c>
      <c r="L1222" t="str">
        <f>"15/11/2021"</f>
        <v>15/11/2021</v>
      </c>
      <c r="M1222" t="str">
        <f>""</f>
        <v/>
      </c>
      <c r="N1222" t="str">
        <f>"Mardegan F.lli s.n.c. Via Argine Destro 13A 35020 Brenta di Correzzola PD"</f>
        <v>Mardegan F.lli s.n.c. Via Argine Destro 13A 35020 Brenta di Correzzola PD</v>
      </c>
      <c r="O1222" t="str">
        <f>"Mardegan F.lli s.n.c. Via Argine Destro 13A 35020 Brenta di Correzzola PD"</f>
        <v>Mardegan F.lli s.n.c. Via Argine Destro 13A 35020 Brenta di Correzzola PD</v>
      </c>
      <c r="P1222" t="s">
        <v>351</v>
      </c>
      <c r="Q1222" t="str">
        <f>""</f>
        <v/>
      </c>
      <c r="R1222" t="str">
        <f>""</f>
        <v/>
      </c>
      <c r="S1222" t="str">
        <f>""</f>
        <v/>
      </c>
      <c r="T1222" t="str">
        <f>"https://portaletrasparenza.consorziobacchiglione.it/dettagli/attodigara/834/riparazione-e-manutenzione-mezzi-con-targa-ep107xc-ds716aa-ds718aa-dn881sc.html"</f>
        <v>https://portaletrasparenza.consorziobacchiglione.it/dettagli/attodigara/834/riparazione-e-manutenzione-mezzi-con-targa-ep107xc-ds716aa-ds718aa-dn881sc.html</v>
      </c>
      <c r="U1222" t="str">
        <f>""</f>
        <v/>
      </c>
      <c r="V12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23" spans="1:22" x14ac:dyDescent="0.3">
      <c r="A1223" t="str">
        <f>"Affidamento"</f>
        <v>Affidamento</v>
      </c>
      <c r="B1223" t="str">
        <f>"Fornitura n 1 balcone in okume multistrato sede Consorziale ."</f>
        <v>Fornitura n 1 balcone in okume multistrato sede Consorziale .</v>
      </c>
      <c r="C1223" t="str">
        <f>"Z4E1BAE9C3"</f>
        <v>Z4E1BAE9C3</v>
      </c>
      <c r="D1223" t="str">
        <f>"04/11/2021"</f>
        <v>04/11/2021</v>
      </c>
      <c r="E1223" t="str">
        <f>""</f>
        <v/>
      </c>
      <c r="F1223" t="str">
        <f>""</f>
        <v/>
      </c>
      <c r="G1223" t="str">
        <f>"650.00"</f>
        <v>650.00</v>
      </c>
      <c r="H1223" t="str">
        <f>"Consorzio di bonifica Bacchiglione"</f>
        <v>Consorzio di bonifica Bacchiglione</v>
      </c>
      <c r="I1223" t="str">
        <f>"92223390284"</f>
        <v>92223390284</v>
      </c>
      <c r="J1223" t="str">
        <f>"23-AFFIDAMENTO DIRETTO"</f>
        <v>23-AFFIDAMENTO DIRETTO</v>
      </c>
      <c r="K1223" t="str">
        <f>"20/10/2021"</f>
        <v>20/10/2021</v>
      </c>
      <c r="L1223" t="str">
        <f>"03/01/2021"</f>
        <v>03/01/2021</v>
      </c>
      <c r="M1223" t="str">
        <f>""</f>
        <v/>
      </c>
      <c r="N1223" t="str">
        <f>"Ruzzon Maurizio Via Vittorio Emanuele III 101 35020 Codevigo PD"</f>
        <v>Ruzzon Maurizio Via Vittorio Emanuele III 101 35020 Codevigo PD</v>
      </c>
      <c r="O1223" t="str">
        <f>"Ruzzon Maurizio Via Vittorio Emanuele III 101 35020 Codevigo PD"</f>
        <v>Ruzzon Maurizio Via Vittorio Emanuele III 101 35020 Codevigo PD</v>
      </c>
      <c r="P1223" t="str">
        <f>"Z4E1BAE9C3: [650.00€ ]"</f>
        <v>Z4E1BAE9C3: [650.00€ ]</v>
      </c>
      <c r="Q1223" t="str">
        <f>""</f>
        <v/>
      </c>
      <c r="R1223" t="str">
        <f>""</f>
        <v/>
      </c>
      <c r="S1223" t="str">
        <f>""</f>
        <v/>
      </c>
      <c r="T1223" t="str">
        <f>"https://portaletrasparenza.consorziobacchiglione.it/dettagli/attodigara/838/fornitura-n-1-balcone-in-okume-multistrato-sede-consorziale.html"</f>
        <v>https://portaletrasparenza.consorziobacchiglione.it/dettagli/attodigara/838/fornitura-n-1-balcone-in-okume-multistrato-sede-consorziale.html</v>
      </c>
      <c r="U1223" t="str">
        <f>""</f>
        <v/>
      </c>
      <c r="V12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24" spans="1:22" x14ac:dyDescent="0.3">
      <c r="A1224" t="str">
        <f>"Affidamento"</f>
        <v>Affidamento</v>
      </c>
      <c r="B1224" t="str">
        <f>"Manutenzione e riparazione mezzo con targa: EW930NS."</f>
        <v>Manutenzione e riparazione mezzo con targa: EW930NS.</v>
      </c>
      <c r="C1224" t="str">
        <f>"Z351BAE7ED"</f>
        <v>Z351BAE7ED</v>
      </c>
      <c r="D1224" t="str">
        <f>"04/11/2021"</f>
        <v>04/11/2021</v>
      </c>
      <c r="E1224" t="str">
        <f>""</f>
        <v/>
      </c>
      <c r="F1224" t="str">
        <f>""</f>
        <v/>
      </c>
      <c r="G1224" t="str">
        <f>"1085.96"</f>
        <v>1085.96</v>
      </c>
      <c r="H1224" t="str">
        <f>"Consorzio di bonifica Bacchiglione"</f>
        <v>Consorzio di bonifica Bacchiglione</v>
      </c>
      <c r="I1224" t="str">
        <f>"92223390284"</f>
        <v>92223390284</v>
      </c>
      <c r="J1224" t="str">
        <f>"23-AFFIDAMENTO DIRETTO"</f>
        <v>23-AFFIDAMENTO DIRETTO</v>
      </c>
      <c r="K1224" t="str">
        <f>"20/10/2021"</f>
        <v>20/10/2021</v>
      </c>
      <c r="L1224" t="str">
        <f>"05/01/2021"</f>
        <v>05/01/2021</v>
      </c>
      <c r="M1224" t="str">
        <f>""</f>
        <v/>
      </c>
      <c r="N1224" t="str">
        <f>"Autoriparazioni Ravazzolo s.r.l. Via Roma 259a 35030 Montemerlo di Cervarese Santa Croce PD"</f>
        <v>Autoriparazioni Ravazzolo s.r.l. Via Roma 259a 35030 Montemerlo di Cervarese Santa Croce PD</v>
      </c>
      <c r="O1224" t="str">
        <f>"Autoriparazioni Ravazzolo s.r.l. Via Roma 259a 35030 Montemerlo di Cervarese Santa Croce PD"</f>
        <v>Autoriparazioni Ravazzolo s.r.l. Via Roma 259a 35030 Montemerlo di Cervarese Santa Croce PD</v>
      </c>
      <c r="P1224" t="str">
        <f>"Z351BAE7ED: [1085.96€ ]"</f>
        <v>Z351BAE7ED: [1085.96€ ]</v>
      </c>
      <c r="Q1224" t="str">
        <f>""</f>
        <v/>
      </c>
      <c r="R1224" t="str">
        <f>""</f>
        <v/>
      </c>
      <c r="S1224" t="str">
        <f>""</f>
        <v/>
      </c>
      <c r="T1224" t="str">
        <f>"https://portaletrasparenza.consorziobacchiglione.it/dettagli/attodigara/836/manutenzione-e-riparazione-mezzo-con-targa-ew930ns.html"</f>
        <v>https://portaletrasparenza.consorziobacchiglione.it/dettagli/attodigara/836/manutenzione-e-riparazione-mezzo-con-targa-ew930ns.html</v>
      </c>
      <c r="U1224" t="str">
        <f>""</f>
        <v/>
      </c>
      <c r="V12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25" spans="1:22" x14ac:dyDescent="0.3">
      <c r="A1225" t="str">
        <f>"Affidamento"</f>
        <v>Affidamento</v>
      </c>
      <c r="B1225" t="str">
        <f>"Fornitura bandinella in gomma per mezzo con targa: AKD221"</f>
        <v>Fornitura bandinella in gomma per mezzo con targa: AKD221</v>
      </c>
      <c r="C1225" t="str">
        <f>"Z561B8BD0D"</f>
        <v>Z561B8BD0D</v>
      </c>
      <c r="D1225" t="str">
        <f>"04/11/2021"</f>
        <v>04/11/2021</v>
      </c>
      <c r="E1225" t="str">
        <f>""</f>
        <v/>
      </c>
      <c r="F1225" t="str">
        <f>""</f>
        <v/>
      </c>
      <c r="G1225" t="str">
        <f>"116.82"</f>
        <v>116.82</v>
      </c>
      <c r="H1225" t="str">
        <f>"Consorzio di bonifica Bacchiglione"</f>
        <v>Consorzio di bonifica Bacchiglione</v>
      </c>
      <c r="I1225" t="str">
        <f>"92223390284"</f>
        <v>92223390284</v>
      </c>
      <c r="J1225" t="str">
        <f>"23-AFFIDAMENTO DIRETTO"</f>
        <v>23-AFFIDAMENTO DIRETTO</v>
      </c>
      <c r="K1225" t="str">
        <f>"20/10/2021"</f>
        <v>20/10/2021</v>
      </c>
      <c r="L1225" t="str">
        <f>"03/01/2021"</f>
        <v>03/01/2021</v>
      </c>
      <c r="M1225" t="str">
        <f>""</f>
        <v/>
      </c>
      <c r="N1225" t="str">
        <f>"Hymach s.r.l. Viale del Commercio 73 45039 Stienta RO"</f>
        <v>Hymach s.r.l. Viale del Commercio 73 45039 Stienta RO</v>
      </c>
      <c r="O1225" t="str">
        <f>"Hymach s.r.l. Viale del Commercio 73 45039 Stienta RO"</f>
        <v>Hymach s.r.l. Viale del Commercio 73 45039 Stienta RO</v>
      </c>
      <c r="P1225" t="str">
        <f>"Z561B8BD0D: [116.82€ ]"</f>
        <v>Z561B8BD0D: [116.82€ ]</v>
      </c>
      <c r="Q1225" t="str">
        <f>""</f>
        <v/>
      </c>
      <c r="R1225" t="str">
        <f>""</f>
        <v/>
      </c>
      <c r="S1225" t="str">
        <f>""</f>
        <v/>
      </c>
      <c r="T1225" t="str">
        <f>"https://portaletrasparenza.consorziobacchiglione.it/dettagli/attodigara/835/fornitura-bandinella-in-gomma-per-mezzo-con-targa-akd221.html"</f>
        <v>https://portaletrasparenza.consorziobacchiglione.it/dettagli/attodigara/835/fornitura-bandinella-in-gomma-per-mezzo-con-targa-akd221.html</v>
      </c>
      <c r="U1225" t="str">
        <f>""</f>
        <v/>
      </c>
      <c r="V12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26" spans="1:22" x14ac:dyDescent="0.3">
      <c r="A1226" t="str">
        <f>"Affidamento"</f>
        <v>Affidamento</v>
      </c>
      <c r="B1226" t="str">
        <f>"CARTUCCE PER STAMPANTI UFFICI RAGIONERIA E CATASTO"</f>
        <v>CARTUCCE PER STAMPANTI UFFICI RAGIONERIA E CATASTO</v>
      </c>
      <c r="C1226" t="str">
        <f>"Z911BAEF13"</f>
        <v>Z911BAEF13</v>
      </c>
      <c r="D1226" t="str">
        <f>"04/11/2021"</f>
        <v>04/11/2021</v>
      </c>
      <c r="E1226" t="str">
        <f>""</f>
        <v/>
      </c>
      <c r="F1226" t="str">
        <f>""</f>
        <v/>
      </c>
      <c r="G1226" t="str">
        <f>"731.50"</f>
        <v>731.50</v>
      </c>
      <c r="H1226" t="str">
        <f>"Consorzio di bonifica Bacchiglione"</f>
        <v>Consorzio di bonifica Bacchiglione</v>
      </c>
      <c r="I1226" t="str">
        <f>"92223390284"</f>
        <v>92223390284</v>
      </c>
      <c r="J1226" t="str">
        <f>"23-AFFIDAMENTO DIRETTO"</f>
        <v>23-AFFIDAMENTO DIRETTO</v>
      </c>
      <c r="K1226" t="str">
        <f>"20/10/2021"</f>
        <v>20/10/2021</v>
      </c>
      <c r="L1226" t="str">
        <f>"19/01/2021"</f>
        <v>19/01/2021</v>
      </c>
      <c r="M1226" t="str">
        <f>""</f>
        <v/>
      </c>
      <c r="N1226" t="str">
        <f>"FR S.N.C."</f>
        <v>FR S.N.C.</v>
      </c>
      <c r="O1226" t="str">
        <f>"FR S.N.C."</f>
        <v>FR S.N.C.</v>
      </c>
      <c r="P1226" t="str">
        <f>"Z911BAEF13: [731.50€ ]"</f>
        <v>Z911BAEF13: [731.50€ ]</v>
      </c>
      <c r="Q1226" t="str">
        <f>""</f>
        <v/>
      </c>
      <c r="R1226" t="str">
        <f>""</f>
        <v/>
      </c>
      <c r="S1226" t="str">
        <f>""</f>
        <v/>
      </c>
      <c r="T1226" t="str">
        <f>"https://portaletrasparenza.consorziobacchiglione.it/dettagli/attodigara/833/cartucce-per-stampanti-uffici-ragioneria-e-catasto.html"</f>
        <v>https://portaletrasparenza.consorziobacchiglione.it/dettagli/attodigara/833/cartucce-per-stampanti-uffici-ragioneria-e-catasto.html</v>
      </c>
      <c r="U1226" t="str">
        <f>""</f>
        <v/>
      </c>
      <c r="V12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27" spans="1:22" x14ac:dyDescent="0.3">
      <c r="A1227" t="str">
        <f>"Affidamento"</f>
        <v>Affidamento</v>
      </c>
      <c r="B1227" t="str">
        <f>"Manutenzione e riparazione mezzo con targa: PDAH157"</f>
        <v>Manutenzione e riparazione mezzo con targa: PDAH157</v>
      </c>
      <c r="C1227" t="str">
        <f>"ZA91BAE8CC"</f>
        <v>ZA91BAE8CC</v>
      </c>
      <c r="D1227" t="str">
        <f>"04/11/2021"</f>
        <v>04/11/2021</v>
      </c>
      <c r="E1227" t="str">
        <f>""</f>
        <v/>
      </c>
      <c r="F1227" t="str">
        <f>""</f>
        <v/>
      </c>
      <c r="G1227" t="str">
        <f>"4964.57"</f>
        <v>4964.57</v>
      </c>
      <c r="H1227" t="str">
        <f>"Consorzio di bonifica Bacchiglione"</f>
        <v>Consorzio di bonifica Bacchiglione</v>
      </c>
      <c r="I1227" t="str">
        <f>"92223390284"</f>
        <v>92223390284</v>
      </c>
      <c r="J1227" t="str">
        <f>"23-AFFIDAMENTO DIRETTO"</f>
        <v>23-AFFIDAMENTO DIRETTO</v>
      </c>
      <c r="K1227" t="str">
        <f>"20/10/2021"</f>
        <v>20/10/2021</v>
      </c>
      <c r="L1227" t="str">
        <f>"04/01/2021"</f>
        <v>04/01/2021</v>
      </c>
      <c r="M1227" t="str">
        <f>""</f>
        <v/>
      </c>
      <c r="N1227" t="str">
        <f>"Adriatica Commerciale Macchine s.r.l. Via dell'Artigianato 5 35020 Due Carrare PD"</f>
        <v>Adriatica Commerciale Macchine s.r.l. Via dell'Artigianato 5 35020 Due Carrare PD</v>
      </c>
      <c r="O1227" t="str">
        <f>"Adriatica Commerciale Macchine s.r.l. Via dell'Artigianato 5 35020 Due Carrare PD"</f>
        <v>Adriatica Commerciale Macchine s.r.l. Via dell'Artigianato 5 35020 Due Carrare PD</v>
      </c>
      <c r="P1227" t="str">
        <f>"ZA91BAE8CC: [4964.56€ ]"</f>
        <v>ZA91BAE8CC: [4964.56€ ]</v>
      </c>
      <c r="Q1227" t="str">
        <f>""</f>
        <v/>
      </c>
      <c r="R1227" t="str">
        <f>""</f>
        <v/>
      </c>
      <c r="S1227" t="str">
        <f>""</f>
        <v/>
      </c>
      <c r="T1227" t="str">
        <f>"https://portaletrasparenza.consorziobacchiglione.it/dettagli/attodigara/837/manutenzione-e-riparazione-mezzo-con-targa-pdah157.html"</f>
        <v>https://portaletrasparenza.consorziobacchiglione.it/dettagli/attodigara/837/manutenzione-e-riparazione-mezzo-con-targa-pdah157.html</v>
      </c>
      <c r="U1227" t="str">
        <f>""</f>
        <v/>
      </c>
      <c r="V1227">
        <f>(SUBSTITUTE(Tabella1[[#This Row],[Importo di aggiudicazione]],".",","))-(SUBSTITUTE(  SUBSTITUTE(          SUBSTITUTE(Tabella1[[#This Row],[Dettaglio somme liquidate]],Tabella1[[#This Row],[CIG]]&amp;": [",""),"€ ]",""),".",","))</f>
        <v>9.999999999308784E-3</v>
      </c>
    </row>
    <row r="1228" spans="1:22" x14ac:dyDescent="0.3">
      <c r="A1228" t="str">
        <f>"Affidamento"</f>
        <v>Affidamento</v>
      </c>
      <c r="B1228" t="str">
        <f>"ID 018-12: Interventi strutturali in rete minore di bonifica. Ricalibratura di reti di bonifica gestione di invasi e recapito finale nel bacino Noventana - 2° Stralcio - Lavori in diretta Amministrazione - Affidamento ru"</f>
        <v>ID 018-12: Interventi strutturali in rete minore di bonifica. Ricalibratura di reti di bonifica gestione di invasi e recapito finale nel bacino Noventana - 2° Stralcio - Lavori in diretta Amministrazione - Affidamento ru</v>
      </c>
      <c r="C1228" t="str">
        <f>"ZC9338AAC8"</f>
        <v>ZC9338AAC8</v>
      </c>
      <c r="D1228" t="str">
        <f>"22/10/2021"</f>
        <v>22/10/2021</v>
      </c>
      <c r="E1228" t="str">
        <f>""</f>
        <v/>
      </c>
      <c r="F1228" t="str">
        <f>""</f>
        <v/>
      </c>
      <c r="G1228" t="str">
        <f>"2912.00"</f>
        <v>2912.00</v>
      </c>
      <c r="H1228" t="str">
        <f>"Consorzio di bonifica Bacchiglione"</f>
        <v>Consorzio di bonifica Bacchiglione</v>
      </c>
      <c r="I1228" t="str">
        <f>"92223390284"</f>
        <v>92223390284</v>
      </c>
      <c r="J1228" t="str">
        <f>"23-AFFIDAMENTO DIRETTO"</f>
        <v>23-AFFIDAMENTO DIRETTO</v>
      </c>
      <c r="K1228" t="str">
        <f>"20/10/2021"</f>
        <v>20/10/2021</v>
      </c>
      <c r="L1228" t="str">
        <f>"14/04/2022"</f>
        <v>14/04/2022</v>
      </c>
      <c r="M1228" t="str">
        <f>""</f>
        <v/>
      </c>
      <c r="N1228" t="str">
        <f>"Ing. Alessandro Cavalletto"</f>
        <v>Ing. Alessandro Cavalletto</v>
      </c>
      <c r="O1228" t="str">
        <f>"Ing. Alessandro Cavalletto"</f>
        <v>Ing. Alessandro Cavalletto</v>
      </c>
      <c r="P1228" t="str">
        <f>"ZC9338AAC8: [2912.00€ ]"</f>
        <v>ZC9338AAC8: [2912.00€ ]</v>
      </c>
      <c r="Q1228" t="str">
        <f>""</f>
        <v/>
      </c>
      <c r="R1228" t="str">
        <f>""</f>
        <v/>
      </c>
      <c r="S1228" t="str">
        <f>""</f>
        <v/>
      </c>
      <c r="T1228" t="s">
        <v>76</v>
      </c>
      <c r="U1228" t="str">
        <f>"https://portaletrasparenza.consorziobacchiglione.it/download/attodigara/7222/63ac45de26ced.PDF"</f>
        <v>https://portaletrasparenza.consorziobacchiglione.it/download/attodigara/7222/63ac45de26ced.PDF</v>
      </c>
      <c r="V12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29" spans="1:22" x14ac:dyDescent="0.3">
      <c r="A1229" t="str">
        <f>"Affidamento"</f>
        <v>Affidamento</v>
      </c>
      <c r="B1229" t="str">
        <f>"Licenza software contabilità lavori manutenzione"</f>
        <v>Licenza software contabilità lavori manutenzione</v>
      </c>
      <c r="C1229" t="str">
        <f>"ZF21CA2626"</f>
        <v>ZF21CA2626</v>
      </c>
      <c r="D1229" t="str">
        <f>"04/11/2021"</f>
        <v>04/11/2021</v>
      </c>
      <c r="E1229" t="str">
        <f>""</f>
        <v/>
      </c>
      <c r="F1229" t="str">
        <f>""</f>
        <v/>
      </c>
      <c r="G1229" t="str">
        <f>"1000.00"</f>
        <v>1000.00</v>
      </c>
      <c r="H1229" t="str">
        <f>"Consorzio di bonifica Bacchiglione"</f>
        <v>Consorzio di bonifica Bacchiglione</v>
      </c>
      <c r="I1229" t="str">
        <f>"92223390284"</f>
        <v>92223390284</v>
      </c>
      <c r="J1229" t="str">
        <f>"23-AFFIDAMENTO DIRETTO"</f>
        <v>23-AFFIDAMENTO DIRETTO</v>
      </c>
      <c r="K1229" t="str">
        <f>"20/12/2021"</f>
        <v>20/12/2021</v>
      </c>
      <c r="L1229" t="str">
        <f>"31/01/2021"</f>
        <v>31/01/2021</v>
      </c>
      <c r="M1229" t="str">
        <f>""</f>
        <v/>
      </c>
      <c r="N1229" t="str">
        <f>"TSS S.p.A. Piazza Indro Montanelli 20 20099 Sesto San Giovanni MI"</f>
        <v>TSS S.p.A. Piazza Indro Montanelli 20 20099 Sesto San Giovanni MI</v>
      </c>
      <c r="O1229" t="str">
        <f>"TSS S.p.A. Piazza Indro Montanelli 20 20099 Sesto San Giovanni MI"</f>
        <v>TSS S.p.A. Piazza Indro Montanelli 20 20099 Sesto San Giovanni MI</v>
      </c>
      <c r="P1229" t="str">
        <f>"ZF21CA2626: [1000.00€ ]"</f>
        <v>ZF21CA2626: [1000.00€ ]</v>
      </c>
      <c r="Q1229" t="str">
        <f>""</f>
        <v/>
      </c>
      <c r="R1229" t="str">
        <f>""</f>
        <v/>
      </c>
      <c r="S1229" t="str">
        <f>""</f>
        <v/>
      </c>
      <c r="T1229" t="str">
        <f>"https://portaletrasparenza.consorziobacchiglione.it/dettagli/attodigara/1023/licenza-software-contabilita-lavori-manutenzione.html"</f>
        <v>https://portaletrasparenza.consorziobacchiglione.it/dettagli/attodigara/1023/licenza-software-contabilita-lavori-manutenzione.html</v>
      </c>
      <c r="U1229" t="str">
        <f>""</f>
        <v/>
      </c>
      <c r="V12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30" spans="1:22" x14ac:dyDescent="0.3">
      <c r="A1230" t="str">
        <f>"Affidamento"</f>
        <v>Affidamento</v>
      </c>
      <c r="B1230" t="str">
        <f>"Fornitura ed installazione griglie ferma detriti, lamiere grecate su cabina il tutto zincato a caldo presso Idrovora Marinelle."</f>
        <v>Fornitura ed installazione griglie ferma detriti, lamiere grecate su cabina il tutto zincato a caldo presso Idrovora Marinelle.</v>
      </c>
      <c r="C1230" t="str">
        <f>"Z7C1CA0658"</f>
        <v>Z7C1CA0658</v>
      </c>
      <c r="D1230" t="str">
        <f>"04/11/2021"</f>
        <v>04/11/2021</v>
      </c>
      <c r="E1230" t="str">
        <f>""</f>
        <v/>
      </c>
      <c r="F1230" t="str">
        <f>""</f>
        <v/>
      </c>
      <c r="G1230" t="str">
        <f>"2480.00"</f>
        <v>2480.00</v>
      </c>
      <c r="H1230" t="str">
        <f>"Consorzio di bonifica Bacchiglione"</f>
        <v>Consorzio di bonifica Bacchiglione</v>
      </c>
      <c r="I1230" t="str">
        <f>"92223390284"</f>
        <v>92223390284</v>
      </c>
      <c r="J1230" t="str">
        <f>"23-AFFIDAMENTO DIRETTO"</f>
        <v>23-AFFIDAMENTO DIRETTO</v>
      </c>
      <c r="K1230" t="str">
        <f>"20/12/2021"</f>
        <v>20/12/2021</v>
      </c>
      <c r="L1230" t="str">
        <f>"29/04/2021"</f>
        <v>29/04/2021</v>
      </c>
      <c r="M1230" t="str">
        <f>""</f>
        <v/>
      </c>
      <c r="N1230" t="str">
        <f>"Twincad S.R.L. Via Don Milani 1 45100 Rovigo | Convento Claudio Via III^ Strada 3 Z.A. 30010 Campolongo Maggiore VE | Trolese Daniele via Roma 37A 30010 Camponogara VE"</f>
        <v>Twincad S.R.L. Via Don Milani 1 45100 Rovigo | Convento Claudio Via III^ Strada 3 Z.A. 30010 Campolongo Maggiore VE | Trolese Daniele via Roma 37A 30010 Camponogara VE</v>
      </c>
      <c r="O1230" t="str">
        <f>"Convento Claudio Via III^ Strada 3 Z.A. 30010 Campolongo Maggiore VE"</f>
        <v>Convento Claudio Via III^ Strada 3 Z.A. 30010 Campolongo Maggiore VE</v>
      </c>
      <c r="P1230" t="str">
        <f>"Z7C1CA0658: [2480.00€ ]"</f>
        <v>Z7C1CA0658: [2480.00€ ]</v>
      </c>
      <c r="Q1230" t="str">
        <f>""</f>
        <v/>
      </c>
      <c r="R1230" t="str">
        <f>""</f>
        <v/>
      </c>
      <c r="S1230" t="str">
        <f>""</f>
        <v/>
      </c>
      <c r="T1230" t="str">
        <f>"https://portaletrasparenza.consorziobacchiglione.it/dettagli/attodigara/1022/fornitura-ed-installazione-griglie-ferma-detriti-lamiere-grecate-su-cabina-il-tutto-zincato-a-caldo-presso-idrovora-marinelle.html"</f>
        <v>https://portaletrasparenza.consorziobacchiglione.it/dettagli/attodigara/1022/fornitura-ed-installazione-griglie-ferma-detriti-lamiere-grecate-su-cabina-il-tutto-zincato-a-caldo-presso-idrovora-marinelle.html</v>
      </c>
      <c r="U1230" t="str">
        <f>""</f>
        <v/>
      </c>
      <c r="V12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31" spans="1:22" x14ac:dyDescent="0.3">
      <c r="A1231" t="str">
        <f>"Affidamento"</f>
        <v>Affidamento</v>
      </c>
      <c r="B1231" t="str">
        <f>"Riparazione e manutenzione mezzo con targa : PDAF480"</f>
        <v>Riparazione e manutenzione mezzo con targa : PDAF480</v>
      </c>
      <c r="C1231" t="str">
        <f>"Z6A1C9FF88"</f>
        <v>Z6A1C9FF88</v>
      </c>
      <c r="D1231" t="str">
        <f>"04/11/2021"</f>
        <v>04/11/2021</v>
      </c>
      <c r="E1231" t="str">
        <f>""</f>
        <v/>
      </c>
      <c r="F1231" t="str">
        <f>""</f>
        <v/>
      </c>
      <c r="G1231" t="str">
        <f>"2002.00"</f>
        <v>2002.00</v>
      </c>
      <c r="H1231" t="str">
        <f>"Consorzio di bonifica Bacchiglione"</f>
        <v>Consorzio di bonifica Bacchiglione</v>
      </c>
      <c r="I1231" t="str">
        <f>"92223390284"</f>
        <v>92223390284</v>
      </c>
      <c r="J1231" t="str">
        <f>"23-AFFIDAMENTO DIRETTO"</f>
        <v>23-AFFIDAMENTO DIRETTO</v>
      </c>
      <c r="K1231" t="str">
        <f>"20/12/2021"</f>
        <v>20/12/2021</v>
      </c>
      <c r="L1231" t="str">
        <f>"30/01/2021"</f>
        <v>30/01/2021</v>
      </c>
      <c r="M1231" t="str">
        <f>""</f>
        <v/>
      </c>
      <c r="N1231" t="str">
        <f>"Adriatica Commerciale Macchine s.r.l. Via dell'Artigianato 5 35020 Due Carrare PD"</f>
        <v>Adriatica Commerciale Macchine s.r.l. Via dell'Artigianato 5 35020 Due Carrare PD</v>
      </c>
      <c r="O1231" t="str">
        <f>"Adriatica Commerciale Macchine s.r.l. Via dell'Artigianato 5 35020 Due Carrare PD"</f>
        <v>Adriatica Commerciale Macchine s.r.l. Via dell'Artigianato 5 35020 Due Carrare PD</v>
      </c>
      <c r="P1231" t="str">
        <f>"Z6A1C9FF88: [2002.00€ ]"</f>
        <v>Z6A1C9FF88: [2002.00€ ]</v>
      </c>
      <c r="Q1231" t="str">
        <f>""</f>
        <v/>
      </c>
      <c r="R1231" t="str">
        <f>""</f>
        <v/>
      </c>
      <c r="S1231" t="str">
        <f>""</f>
        <v/>
      </c>
      <c r="T1231" t="str">
        <f>"https://portaletrasparenza.consorziobacchiglione.it/dettagli/attodigara/1021/riparazione-e-manutenzione-mezzo-con-targa-pdaf480.html"</f>
        <v>https://portaletrasparenza.consorziobacchiglione.it/dettagli/attodigara/1021/riparazione-e-manutenzione-mezzo-con-targa-pdaf480.html</v>
      </c>
      <c r="U1231" t="str">
        <f>""</f>
        <v/>
      </c>
      <c r="V12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32" spans="1:22" x14ac:dyDescent="0.3">
      <c r="A1232" t="str">
        <f>"Affidamento"</f>
        <v>Affidamento</v>
      </c>
      <c r="B1232" t="str">
        <f>"Fornitura materiale di ferramenta per C.O.S.Margherita"</f>
        <v>Fornitura materiale di ferramenta per C.O.S.Margherita</v>
      </c>
      <c r="C1232" t="str">
        <f>"ZA91C9FDE2"</f>
        <v>ZA91C9FDE2</v>
      </c>
      <c r="D1232" t="str">
        <f>"04/11/2021"</f>
        <v>04/11/2021</v>
      </c>
      <c r="E1232" t="str">
        <f>""</f>
        <v/>
      </c>
      <c r="F1232" t="str">
        <f>""</f>
        <v/>
      </c>
      <c r="G1232" t="str">
        <f>"426.40"</f>
        <v>426.40</v>
      </c>
      <c r="H1232" t="str">
        <f>"Consorzio di bonifica Bacchiglione"</f>
        <v>Consorzio di bonifica Bacchiglione</v>
      </c>
      <c r="I1232" t="str">
        <f>"92223390284"</f>
        <v>92223390284</v>
      </c>
      <c r="J1232" t="str">
        <f>"23-AFFIDAMENTO DIRETTO"</f>
        <v>23-AFFIDAMENTO DIRETTO</v>
      </c>
      <c r="K1232" t="str">
        <f>"20/12/2021"</f>
        <v>20/12/2021</v>
      </c>
      <c r="L1232" t="str">
        <f>"12/01/2021"</f>
        <v>12/01/2021</v>
      </c>
      <c r="M1232" t="str">
        <f>""</f>
        <v/>
      </c>
      <c r="N1232" t="str">
        <f>"Gollo Giovanni Via Vallona 65 35020 Conche di Codevigo PD"</f>
        <v>Gollo Giovanni Via Vallona 65 35020 Conche di Codevigo PD</v>
      </c>
      <c r="O1232" t="str">
        <f>"Gollo Giovanni Via Vallona 65 35020 Conche di Codevigo PD"</f>
        <v>Gollo Giovanni Via Vallona 65 35020 Conche di Codevigo PD</v>
      </c>
      <c r="P1232" t="str">
        <f>"ZA91C9FDE2: [426.40€ ]"</f>
        <v>ZA91C9FDE2: [426.40€ ]</v>
      </c>
      <c r="Q1232" t="str">
        <f>""</f>
        <v/>
      </c>
      <c r="R1232" t="str">
        <f>""</f>
        <v/>
      </c>
      <c r="S1232" t="str">
        <f>""</f>
        <v/>
      </c>
      <c r="T1232" t="str">
        <f>"https://portaletrasparenza.consorziobacchiglione.it/dettagli/attodigara/1020/fornitura-materiale-di-ferramenta-per-c-o-s-margherita.html"</f>
        <v>https://portaletrasparenza.consorziobacchiglione.it/dettagli/attodigara/1020/fornitura-materiale-di-ferramenta-per-c-o-s-margherita.html</v>
      </c>
      <c r="U1232" t="str">
        <f>""</f>
        <v/>
      </c>
      <c r="V12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33" spans="1:22" x14ac:dyDescent="0.3">
      <c r="A1233" t="str">
        <f>"Affidamento"</f>
        <v>Affidamento</v>
      </c>
      <c r="B1233" t="str">
        <f>"Fornitura Gruppo di continuità, Slitte per NAS, patch panel, PC Fujitsu refurbised per Client Server Consorzio e Catasto ESXi, e Espansione RAN Server e creazione immagini fisiche vecchi server, e immagini virtuali dei s"</f>
        <v>Fornitura Gruppo di continuità, Slitte per NAS, patch panel, PC Fujitsu refurbised per Client Server Consorzio e Catasto ESXi, e Espansione RAN Server e creazione immagini fisiche vecchi server, e immagini virtuali dei s</v>
      </c>
      <c r="C1233" t="str">
        <f>"Z021C9F330"</f>
        <v>Z021C9F330</v>
      </c>
      <c r="D1233" t="str">
        <f>"04/11/2021"</f>
        <v>04/11/2021</v>
      </c>
      <c r="E1233" t="str">
        <f>""</f>
        <v/>
      </c>
      <c r="F1233" t="str">
        <f>""</f>
        <v/>
      </c>
      <c r="G1233" t="str">
        <f>"3100.00"</f>
        <v>3100.00</v>
      </c>
      <c r="H1233" t="str">
        <f>"Consorzio di bonifica Bacchiglione"</f>
        <v>Consorzio di bonifica Bacchiglione</v>
      </c>
      <c r="I1233" t="str">
        <f>"92223390284"</f>
        <v>92223390284</v>
      </c>
      <c r="J1233" t="str">
        <f>"23-AFFIDAMENTO DIRETTO"</f>
        <v>23-AFFIDAMENTO DIRETTO</v>
      </c>
      <c r="K1233" t="str">
        <f>"20/12/2021"</f>
        <v>20/12/2021</v>
      </c>
      <c r="L1233" t="str">
        <f>"21/04/2021"</f>
        <v>21/04/2021</v>
      </c>
      <c r="M1233" t="str">
        <f>""</f>
        <v/>
      </c>
      <c r="N1233" t="str">
        <f>"TPH Elettronica s.a.s. Via N. Pizzolo 51A 35132 Padova"</f>
        <v>TPH Elettronica s.a.s. Via N. Pizzolo 51A 35132 Padova</v>
      </c>
      <c r="O1233" t="str">
        <f>"TPH Elettronica s.a.s. Via N. Pizzolo 51A 35132 Padova"</f>
        <v>TPH Elettronica s.a.s. Via N. Pizzolo 51A 35132 Padova</v>
      </c>
      <c r="P1233" t="str">
        <f>"Z021C9F330: [3100.00€ ]"</f>
        <v>Z021C9F330: [3100.00€ ]</v>
      </c>
      <c r="Q1233" t="str">
        <f>""</f>
        <v/>
      </c>
      <c r="R1233" t="str">
        <f>""</f>
        <v/>
      </c>
      <c r="S1233" t="str">
        <f>""</f>
        <v/>
      </c>
      <c r="T1233" t="s">
        <v>35</v>
      </c>
      <c r="U1233" t="str">
        <f>""</f>
        <v/>
      </c>
      <c r="V12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34" spans="1:22" x14ac:dyDescent="0.3">
      <c r="A1234" t="str">
        <f>"Affidamento"</f>
        <v>Affidamento</v>
      </c>
      <c r="B1234" t="str">
        <f>"Fornitura software Acronis Backup 12 per i sever Catasto e sever Consorziale, e licenza Windows server 2012 per sever presenze."</f>
        <v>Fornitura software Acronis Backup 12 per i sever Catasto e sever Consorziale, e licenza Windows server 2012 per sever presenze.</v>
      </c>
      <c r="C1234" t="str">
        <f>"Z291C9EE03"</f>
        <v>Z291C9EE03</v>
      </c>
      <c r="D1234" t="str">
        <f>"04/11/2021"</f>
        <v>04/11/2021</v>
      </c>
      <c r="E1234" t="str">
        <f>""</f>
        <v/>
      </c>
      <c r="F1234" t="str">
        <f>""</f>
        <v/>
      </c>
      <c r="G1234" t="str">
        <f>"2320.00"</f>
        <v>2320.00</v>
      </c>
      <c r="H1234" t="str">
        <f>"Consorzio di bonifica Bacchiglione"</f>
        <v>Consorzio di bonifica Bacchiglione</v>
      </c>
      <c r="I1234" t="str">
        <f>"92223390284"</f>
        <v>92223390284</v>
      </c>
      <c r="J1234" t="str">
        <f>"23-AFFIDAMENTO DIRETTO"</f>
        <v>23-AFFIDAMENTO DIRETTO</v>
      </c>
      <c r="K1234" t="str">
        <f>"20/12/2021"</f>
        <v>20/12/2021</v>
      </c>
      <c r="L1234" t="str">
        <f>"18/01/2021"</f>
        <v>18/01/2021</v>
      </c>
      <c r="M1234" t="str">
        <f>""</f>
        <v/>
      </c>
      <c r="N1234" t="str">
        <f>"TPH Elettronica s.a.s. Via N. Pizzolo 51A 35132 Padova"</f>
        <v>TPH Elettronica s.a.s. Via N. Pizzolo 51A 35132 Padova</v>
      </c>
      <c r="O1234" t="str">
        <f>"TPH Elettronica s.a.s. Via N. Pizzolo 51A 35132 Padova"</f>
        <v>TPH Elettronica s.a.s. Via N. Pizzolo 51A 35132 Padova</v>
      </c>
      <c r="P1234" t="str">
        <f>"Z291C9EE03: [2320.00€ ]"</f>
        <v>Z291C9EE03: [2320.00€ ]</v>
      </c>
      <c r="Q1234" t="str">
        <f>""</f>
        <v/>
      </c>
      <c r="R1234" t="str">
        <f>""</f>
        <v/>
      </c>
      <c r="S1234" t="str">
        <f>""</f>
        <v/>
      </c>
      <c r="T1234" t="str">
        <f>"https://portaletrasparenza.consorziobacchiglione.it/dettagli/attodigara/1018/fornitura-software-acronis-backup-12-per-i-sever-catasto-e-sever-consorziale-e-licenza-windows-server-2012-per-sever-presenze.html"</f>
        <v>https://portaletrasparenza.consorziobacchiglione.it/dettagli/attodigara/1018/fornitura-software-acronis-backup-12-per-i-sever-catasto-e-sever-consorziale-e-licenza-windows-server-2012-per-sever-presenze.html</v>
      </c>
      <c r="U1234" t="str">
        <f>""</f>
        <v/>
      </c>
      <c r="V12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35" spans="1:22" x14ac:dyDescent="0.3">
      <c r="A1235" t="str">
        <f>"Affidamento"</f>
        <v>Affidamento</v>
      </c>
      <c r="B1235" t="str">
        <f>"Fornitura n 2 elettropompe di lubrificazione W erner per Idrovora Valli di Camin."</f>
        <v>Fornitura n 2 elettropompe di lubrificazione W erner per Idrovora Valli di Camin.</v>
      </c>
      <c r="C1235" t="str">
        <f>"Z3D1C9B893"</f>
        <v>Z3D1C9B893</v>
      </c>
      <c r="D1235" t="str">
        <f>"04/11/2021"</f>
        <v>04/11/2021</v>
      </c>
      <c r="E1235" t="str">
        <f>""</f>
        <v/>
      </c>
      <c r="F1235" t="str">
        <f>""</f>
        <v/>
      </c>
      <c r="G1235" t="str">
        <f>"5750.00"</f>
        <v>5750.00</v>
      </c>
      <c r="H1235" t="str">
        <f>"Consorzio di bonifica Bacchiglione"</f>
        <v>Consorzio di bonifica Bacchiglione</v>
      </c>
      <c r="I1235" t="str">
        <f>"92223390284"</f>
        <v>92223390284</v>
      </c>
      <c r="J1235" t="str">
        <f>"23-AFFIDAMENTO DIRETTO"</f>
        <v>23-AFFIDAMENTO DIRETTO</v>
      </c>
      <c r="K1235" t="str">
        <f>"20/12/2021"</f>
        <v>20/12/2021</v>
      </c>
      <c r="L1235" t="str">
        <f>"28/02/2021"</f>
        <v>28/02/2021</v>
      </c>
      <c r="M1235" t="str">
        <f>""</f>
        <v/>
      </c>
      <c r="N1235" t="str">
        <f>"Scarpa Sergio Elettromeccanica S.n.c. di Scarpa Paola E C. Via A. Vivaldi 7 35028 Piove di Sacco PD | Dimel s.a.s. di Donado Luca e C. Via Unità d'Italia 12 35020 Brugine PD | M.V.R. Motori Ventilatori Ridotturi SPA"</f>
        <v>Scarpa Sergio Elettromeccanica S.n.c. di Scarpa Paola E C. Via A. Vivaldi 7 35028 Piove di Sacco PD | Dimel s.a.s. di Donado Luca e C. Via Unità d'Italia 12 35020 Brugine PD | M.V.R. Motori Ventilatori Ridotturi SPA</v>
      </c>
      <c r="O1235" t="str">
        <f>"Scarpa Sergio Elettromeccanica S.n.c. di Scarpa Paola E C. Via A. Vivaldi 7 35028 Piove di Sacco PD"</f>
        <v>Scarpa Sergio Elettromeccanica S.n.c. di Scarpa Paola E C. Via A. Vivaldi 7 35028 Piove di Sacco PD</v>
      </c>
      <c r="P1235" t="str">
        <f>"Z3D1C9B893: [5750.00€ ]"</f>
        <v>Z3D1C9B893: [5750.00€ ]</v>
      </c>
      <c r="Q1235" t="str">
        <f>""</f>
        <v/>
      </c>
      <c r="R1235" t="str">
        <f>""</f>
        <v/>
      </c>
      <c r="S1235" t="str">
        <f>""</f>
        <v/>
      </c>
      <c r="T1235" t="str">
        <f>"https://portaletrasparenza.consorziobacchiglione.it/dettagli/attodigara/1016/fornitura-n-2-elettropompe-di-lubrificazione-w-erner-per-idrovora-valli-di-camin.html"</f>
        <v>https://portaletrasparenza.consorziobacchiglione.it/dettagli/attodigara/1016/fornitura-n-2-elettropompe-di-lubrificazione-w-erner-per-idrovora-valli-di-camin.html</v>
      </c>
      <c r="U1235" t="str">
        <f>""</f>
        <v/>
      </c>
      <c r="V12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36" spans="1:22" x14ac:dyDescent="0.3">
      <c r="A1236" t="str">
        <f>"Affidamento"</f>
        <v>Affidamento</v>
      </c>
      <c r="B1236" t="str">
        <f>"Fornitura n 2 elettropompe di lubrificazione W erner per Idrovora Marinelle."</f>
        <v>Fornitura n 2 elettropompe di lubrificazione W erner per Idrovora Marinelle.</v>
      </c>
      <c r="C1236" t="str">
        <f>"Z431C9B740"</f>
        <v>Z431C9B740</v>
      </c>
      <c r="D1236" t="str">
        <f>"04/11/2021"</f>
        <v>04/11/2021</v>
      </c>
      <c r="E1236" t="str">
        <f>""</f>
        <v/>
      </c>
      <c r="F1236" t="str">
        <f>""</f>
        <v/>
      </c>
      <c r="G1236" t="str">
        <f>"5750.00"</f>
        <v>5750.00</v>
      </c>
      <c r="H1236" t="str">
        <f>"Consorzio di bonifica Bacchiglione"</f>
        <v>Consorzio di bonifica Bacchiglione</v>
      </c>
      <c r="I1236" t="str">
        <f>"92223390284"</f>
        <v>92223390284</v>
      </c>
      <c r="J1236" t="str">
        <f>"23-AFFIDAMENTO DIRETTO"</f>
        <v>23-AFFIDAMENTO DIRETTO</v>
      </c>
      <c r="K1236" t="str">
        <f>"20/12/2021"</f>
        <v>20/12/2021</v>
      </c>
      <c r="L1236" t="str">
        <f>"28/02/2021"</f>
        <v>28/02/2021</v>
      </c>
      <c r="M1236" t="str">
        <f>""</f>
        <v/>
      </c>
      <c r="N1236" t="str">
        <f>"Scarpa Sergio Elettromeccanica S.n.c. di Scarpa Paola E C. Via A. Vivaldi 7 35028 Piove di Sacco PD | Dimel s.a.s. di Donado Luca e C. Via Unità d'Italia 12 35020 Brugine PD | M.V.R. Motori Ventilatori Ridotturi SPA"</f>
        <v>Scarpa Sergio Elettromeccanica S.n.c. di Scarpa Paola E C. Via A. Vivaldi 7 35028 Piove di Sacco PD | Dimel s.a.s. di Donado Luca e C. Via Unità d'Italia 12 35020 Brugine PD | M.V.R. Motori Ventilatori Ridotturi SPA</v>
      </c>
      <c r="O1236" t="str">
        <f>"Scarpa Sergio Elettromeccanica S.n.c. di Scarpa Paola E C. Via A. Vivaldi 7 35028 Piove di Sacco PD"</f>
        <v>Scarpa Sergio Elettromeccanica S.n.c. di Scarpa Paola E C. Via A. Vivaldi 7 35028 Piove di Sacco PD</v>
      </c>
      <c r="P1236" t="str">
        <f>"Z431C9B740: [5750.00€ ]"</f>
        <v>Z431C9B740: [5750.00€ ]</v>
      </c>
      <c r="Q1236" t="str">
        <f>""</f>
        <v/>
      </c>
      <c r="R1236" t="str">
        <f>""</f>
        <v/>
      </c>
      <c r="S1236" t="str">
        <f>""</f>
        <v/>
      </c>
      <c r="T1236" t="str">
        <f>"https://portaletrasparenza.consorziobacchiglione.it/dettagli/attodigara/1015/fornitura-n-2-elettropompe-di-lubrificazione-w-erner-per-idrovora-marinelle.html"</f>
        <v>https://portaletrasparenza.consorziobacchiglione.it/dettagli/attodigara/1015/fornitura-n-2-elettropompe-di-lubrificazione-w-erner-per-idrovora-marinelle.html</v>
      </c>
      <c r="U1236" t="str">
        <f>""</f>
        <v/>
      </c>
      <c r="V12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37" spans="1:22" x14ac:dyDescent="0.3">
      <c r="A1237" t="str">
        <f>"Affidamento"</f>
        <v>Affidamento</v>
      </c>
      <c r="B1237" t="str">
        <f>"Corso di formazione sulla nuova edizione 2016 della norma IEC 60204-1"</f>
        <v>Corso di formazione sulla nuova edizione 2016 della norma IEC 60204-1</v>
      </c>
      <c r="C1237" t="str">
        <f>"ZFA1C9C44C"</f>
        <v>ZFA1C9C44C</v>
      </c>
      <c r="D1237" t="str">
        <f>"04/11/2021"</f>
        <v>04/11/2021</v>
      </c>
      <c r="E1237" t="str">
        <f>""</f>
        <v/>
      </c>
      <c r="F1237" t="str">
        <f>""</f>
        <v/>
      </c>
      <c r="G1237" t="str">
        <f>"1300.00"</f>
        <v>1300.00</v>
      </c>
      <c r="H1237" t="str">
        <f>"Consorzio di bonifica Bacchiglione"</f>
        <v>Consorzio di bonifica Bacchiglione</v>
      </c>
      <c r="I1237" t="str">
        <f>"92223390284"</f>
        <v>92223390284</v>
      </c>
      <c r="J1237" t="str">
        <f>"23-AFFIDAMENTO DIRETTO"</f>
        <v>23-AFFIDAMENTO DIRETTO</v>
      </c>
      <c r="K1237" t="str">
        <f>"20/12/2021"</f>
        <v>20/12/2021</v>
      </c>
      <c r="L1237" t="str">
        <f>"31/12/2021"</f>
        <v>31/12/2021</v>
      </c>
      <c r="M1237" t="str">
        <f>""</f>
        <v/>
      </c>
      <c r="N1237" t="str">
        <f>"Sitel SNC Via Lisbona 28a 35127 Padova"</f>
        <v>Sitel SNC Via Lisbona 28a 35127 Padova</v>
      </c>
      <c r="O1237" t="str">
        <f>"Sitel SNC Via Lisbona 28a 35127 Padova"</f>
        <v>Sitel SNC Via Lisbona 28a 35127 Padova</v>
      </c>
      <c r="P1237" t="str">
        <f>"ZFA1C9C44C: [0.00€ ]"</f>
        <v>ZFA1C9C44C: [0.00€ ]</v>
      </c>
      <c r="Q1237" t="str">
        <f>""</f>
        <v/>
      </c>
      <c r="R1237" t="str">
        <f>""</f>
        <v/>
      </c>
      <c r="S1237" t="str">
        <f>""</f>
        <v/>
      </c>
      <c r="T1237" t="str">
        <f>"https://portaletrasparenza.consorziobacchiglione.it/dettagli/attodigara/1017/corso-di-formazione-sulla-nuova-edizione-2016-della-norma-iec-60204-1.html"</f>
        <v>https://portaletrasparenza.consorziobacchiglione.it/dettagli/attodigara/1017/corso-di-formazione-sulla-nuova-edizione-2016-della-norma-iec-60204-1.html</v>
      </c>
      <c r="U1237" t="str">
        <f>""</f>
        <v/>
      </c>
      <c r="V1237">
        <f>(SUBSTITUTE(Tabella1[[#This Row],[Importo di aggiudicazione]],".",","))-(SUBSTITUTE(  SUBSTITUTE(          SUBSTITUTE(Tabella1[[#This Row],[Dettaglio somme liquidate]],Tabella1[[#This Row],[CIG]]&amp;": [",""),"€ ]",""),".",","))</f>
        <v>1300</v>
      </c>
    </row>
    <row r="1238" spans="1:22" x14ac:dyDescent="0.3">
      <c r="A1238" t="str">
        <f>"Affidamento"</f>
        <v>Affidamento</v>
      </c>
      <c r="B1238" t="str">
        <f>"Tagliando completo del mezzo targato: AHH573"</f>
        <v>Tagliando completo del mezzo targato: AHH573</v>
      </c>
      <c r="C1238" t="str">
        <f>"Z05347D29D"</f>
        <v>Z05347D29D</v>
      </c>
      <c r="D1238" t="str">
        <f>"20/12/2021"</f>
        <v>20/12/2021</v>
      </c>
      <c r="E1238" t="str">
        <f>""</f>
        <v/>
      </c>
      <c r="F1238" t="str">
        <f>""</f>
        <v/>
      </c>
      <c r="G1238" t="str">
        <f>"1197.65"</f>
        <v>1197.65</v>
      </c>
      <c r="H1238" t="str">
        <f>"Consorzio di bonifica Bacchiglione"</f>
        <v>Consorzio di bonifica Bacchiglione</v>
      </c>
      <c r="I1238" t="str">
        <f>"92223390284"</f>
        <v>92223390284</v>
      </c>
      <c r="J1238" t="str">
        <f>"23-AFFIDAMENTO DIRETTO"</f>
        <v>23-AFFIDAMENTO DIRETTO</v>
      </c>
      <c r="K1238" t="str">
        <f>"20/12/2021"</f>
        <v>20/12/2021</v>
      </c>
      <c r="L1238" t="str">
        <f>"27/12/2021"</f>
        <v>27/12/2021</v>
      </c>
      <c r="M1238" t="str">
        <f>""</f>
        <v/>
      </c>
      <c r="N1238" t="str">
        <f>"Negrisolo Officina Meccanica s.a.s. V.le delle Industrie II° strada 13 35025 Cagnola di Cartura PD"</f>
        <v>Negrisolo Officina Meccanica s.a.s. V.le delle Industrie II° strada 13 35025 Cagnola di Cartura PD</v>
      </c>
      <c r="O1238" t="str">
        <f>"Negrisolo Officina Meccanica s.a.s. V.le delle Industrie II° strada 13 35025 Cagnola di Cartura PD"</f>
        <v>Negrisolo Officina Meccanica s.a.s. V.le delle Industrie II° strada 13 35025 Cagnola di Cartura PD</v>
      </c>
      <c r="P1238" t="s">
        <v>236</v>
      </c>
      <c r="Q1238" t="str">
        <f>""</f>
        <v/>
      </c>
      <c r="R1238" t="str">
        <f>""</f>
        <v/>
      </c>
      <c r="S1238" t="str">
        <f>""</f>
        <v/>
      </c>
      <c r="T1238" t="str">
        <f>"https://portaletrasparenza.consorziobacchiglione.it/dettagli/attodigara/7367/tagliando-completo-del-mezzo-targato-ahh573.html"</f>
        <v>https://portaletrasparenza.consorziobacchiglione.it/dettagli/attodigara/7367/tagliando-completo-del-mezzo-targato-ahh573.html</v>
      </c>
      <c r="U1238" t="str">
        <f>"https://portaletrasparenza.consorziobacchiglione.it/download/attodigara/7367/63ac45fd8861d.PDF"</f>
        <v>https://portaletrasparenza.consorziobacchiglione.it/download/attodigara/7367/63ac45fd8861d.PDF</v>
      </c>
      <c r="V123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39" spans="1:22" x14ac:dyDescent="0.3">
      <c r="A1239" t="str">
        <f>"Affidamento"</f>
        <v>Affidamento</v>
      </c>
      <c r="B1239" t="str">
        <f>"Controllo semestrale gru con rilascio scheda di manutenzione dei mezzi targati: EW930NS, EP107XC"</f>
        <v>Controllo semestrale gru con rilascio scheda di manutenzione dei mezzi targati: EW930NS, EP107XC</v>
      </c>
      <c r="C1239" t="str">
        <f>"ZD3347D531"</f>
        <v>ZD3347D531</v>
      </c>
      <c r="D1239" t="str">
        <f>"20/12/2021"</f>
        <v>20/12/2021</v>
      </c>
      <c r="E1239" t="str">
        <f>""</f>
        <v/>
      </c>
      <c r="F1239" t="str">
        <f>""</f>
        <v/>
      </c>
      <c r="G1239" t="str">
        <f>"480.00"</f>
        <v>480.00</v>
      </c>
      <c r="H1239" t="str">
        <f>"Consorzio di bonifica Bacchiglione"</f>
        <v>Consorzio di bonifica Bacchiglione</v>
      </c>
      <c r="I1239" t="str">
        <f>"92223390284"</f>
        <v>92223390284</v>
      </c>
      <c r="J1239" t="str">
        <f>"23-AFFIDAMENTO DIRETTO"</f>
        <v>23-AFFIDAMENTO DIRETTO</v>
      </c>
      <c r="K1239" t="str">
        <f>"20/12/2021"</f>
        <v>20/12/2021</v>
      </c>
      <c r="L1239" t="str">
        <f>"22/12/2021"</f>
        <v>22/12/2021</v>
      </c>
      <c r="M1239" t="str">
        <f>""</f>
        <v/>
      </c>
      <c r="N1239" t="str">
        <f>"Moressa s.r.l. Via Cuccara 2 35020 Due Carrare PD"</f>
        <v>Moressa s.r.l. Via Cuccara 2 35020 Due Carrare PD</v>
      </c>
      <c r="O1239" t="str">
        <f>"Moressa s.r.l. Via Cuccara 2 35020 Due Carrare PD"</f>
        <v>Moressa s.r.l. Via Cuccara 2 35020 Due Carrare PD</v>
      </c>
      <c r="P1239" t="s">
        <v>268</v>
      </c>
      <c r="Q1239" t="str">
        <f>""</f>
        <v/>
      </c>
      <c r="R1239" t="str">
        <f>""</f>
        <v/>
      </c>
      <c r="S1239" t="str">
        <f>""</f>
        <v/>
      </c>
      <c r="T1239" t="str">
        <f>"https://portaletrasparenza.consorziobacchiglione.it/dettagli/attodigara/7369/controllo-semestrale-gru-con-rilascio-scheda-di-manutenzione-dei-mezzi-targati-ew930ns-ep107xc.html"</f>
        <v>https://portaletrasparenza.consorziobacchiglione.it/dettagli/attodigara/7369/controllo-semestrale-gru-con-rilascio-scheda-di-manutenzione-dei-mezzi-targati-ew930ns-ep107xc.html</v>
      </c>
      <c r="U1239" t="str">
        <f>"https://portaletrasparenza.consorziobacchiglione.it/download/attodigara/7369/63ac45fe0707f.PDF"</f>
        <v>https://portaletrasparenza.consorziobacchiglione.it/download/attodigara/7369/63ac45fe0707f.PDF</v>
      </c>
      <c r="V12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40" spans="1:22" x14ac:dyDescent="0.3">
      <c r="A1240" t="str">
        <f>"Affidamento"</f>
        <v>Affidamento</v>
      </c>
      <c r="B1240" t="str">
        <f>"Sostituzione alternatore del mezzo targato: AJR631"</f>
        <v>Sostituzione alternatore del mezzo targato: AJR631</v>
      </c>
      <c r="C1240" t="str">
        <f>"Z53347D30C"</f>
        <v>Z53347D30C</v>
      </c>
      <c r="D1240" t="str">
        <f>"20/12/2021"</f>
        <v>20/12/2021</v>
      </c>
      <c r="E1240" t="str">
        <f>""</f>
        <v/>
      </c>
      <c r="F1240" t="str">
        <f>""</f>
        <v/>
      </c>
      <c r="G1240" t="str">
        <f>"434.75"</f>
        <v>434.75</v>
      </c>
      <c r="H1240" t="str">
        <f>"Consorzio di bonifica Bacchiglione"</f>
        <v>Consorzio di bonifica Bacchiglione</v>
      </c>
      <c r="I1240" t="str">
        <f>"92223390284"</f>
        <v>92223390284</v>
      </c>
      <c r="J1240" t="str">
        <f>"23-AFFIDAMENTO DIRETTO"</f>
        <v>23-AFFIDAMENTO DIRETTO</v>
      </c>
      <c r="K1240" t="str">
        <f>"20/12/2021"</f>
        <v>20/12/2021</v>
      </c>
      <c r="L1240" t="str">
        <f>"27/12/2021"</f>
        <v>27/12/2021</v>
      </c>
      <c r="M1240" t="str">
        <f>""</f>
        <v/>
      </c>
      <c r="N1240" t="str">
        <f>"Negrisolo Officina Meccanica s.a.s. V.le delle Industrie II° strada 13 35025 Cagnola di Cartura PD"</f>
        <v>Negrisolo Officina Meccanica s.a.s. V.le delle Industrie II° strada 13 35025 Cagnola di Cartura PD</v>
      </c>
      <c r="O1240" t="str">
        <f>"Negrisolo Officina Meccanica s.a.s. V.le delle Industrie II° strada 13 35025 Cagnola di Cartura PD"</f>
        <v>Negrisolo Officina Meccanica s.a.s. V.le delle Industrie II° strada 13 35025 Cagnola di Cartura PD</v>
      </c>
      <c r="P1240" t="s">
        <v>274</v>
      </c>
      <c r="Q1240" t="str">
        <f>""</f>
        <v/>
      </c>
      <c r="R1240" t="str">
        <f>""</f>
        <v/>
      </c>
      <c r="S1240" t="str">
        <f>""</f>
        <v/>
      </c>
      <c r="T1240" t="str">
        <f>"https://portaletrasparenza.consorziobacchiglione.it/dettagli/attodigara/7368/sostituzione-alternatore-del-mezzo-targato-ajr631.html"</f>
        <v>https://portaletrasparenza.consorziobacchiglione.it/dettagli/attodigara/7368/sostituzione-alternatore-del-mezzo-targato-ajr631.html</v>
      </c>
      <c r="U1240" t="str">
        <f>"https://portaletrasparenza.consorziobacchiglione.it/download/attodigara/7368/63ac45fdc1f4d.PDF"</f>
        <v>https://portaletrasparenza.consorziobacchiglione.it/download/attodigara/7368/63ac45fdc1f4d.PDF</v>
      </c>
      <c r="V12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41" spans="1:22" x14ac:dyDescent="0.3">
      <c r="A1241" t="str">
        <f>"Affidamento"</f>
        <v>Affidamento</v>
      </c>
      <c r="B1241" t="str">
        <f>"Noleggio escavatore Volvo ECR88D per lavori presso scolo Menona in comune di Montegrotto Terme"</f>
        <v>Noleggio escavatore Volvo ECR88D per lavori presso scolo Menona in comune di Montegrotto Terme</v>
      </c>
      <c r="C1241" t="str">
        <f>"ZF6347DCAA"</f>
        <v>ZF6347DCAA</v>
      </c>
      <c r="D1241" t="str">
        <f>"20/12/2021"</f>
        <v>20/12/2021</v>
      </c>
      <c r="E1241" t="str">
        <f>""</f>
        <v/>
      </c>
      <c r="F1241" t="str">
        <f>""</f>
        <v/>
      </c>
      <c r="G1241" t="str">
        <f>"924.45"</f>
        <v>924.45</v>
      </c>
      <c r="H1241" t="str">
        <f>"Consorzio di bonifica Bacchiglione"</f>
        <v>Consorzio di bonifica Bacchiglione</v>
      </c>
      <c r="I1241" t="str">
        <f>"92223390284"</f>
        <v>92223390284</v>
      </c>
      <c r="J1241" t="str">
        <f>"23-AFFIDAMENTO DIRETTO"</f>
        <v>23-AFFIDAMENTO DIRETTO</v>
      </c>
      <c r="K1241" t="str">
        <f>"20/12/2021"</f>
        <v>20/12/2021</v>
      </c>
      <c r="L1241" t="str">
        <f>"03/02/2022"</f>
        <v>03/02/2022</v>
      </c>
      <c r="M1241" t="str">
        <f>""</f>
        <v/>
      </c>
      <c r="N1241" t="str">
        <f>"Foredil S.r.l. Via E.Fermi, 22 - 35030 Sarmeola di Rubano (PD)"</f>
        <v>Foredil S.r.l. Via E.Fermi, 22 - 35030 Sarmeola di Rubano (PD)</v>
      </c>
      <c r="O1241" t="str">
        <f>"Foredil S.r.l. Via E.Fermi, 22 - 35030 Sarmeola di Rubano (PD)"</f>
        <v>Foredil S.r.l. Via E.Fermi, 22 - 35030 Sarmeola di Rubano (PD)</v>
      </c>
      <c r="P1241" t="str">
        <f>"ZF6347DCAA: [919.09€ ]"</f>
        <v>ZF6347DCAA: [919.09€ ]</v>
      </c>
      <c r="Q1241" t="str">
        <f>""</f>
        <v/>
      </c>
      <c r="R1241" t="str">
        <f>""</f>
        <v/>
      </c>
      <c r="S1241" t="str">
        <f>""</f>
        <v/>
      </c>
      <c r="T1241" t="str">
        <f>"https://portaletrasparenza.consorziobacchiglione.it/dettagli/attodigara/7370/noleggio-escavatore-volvo-ecr88d-per-lavori-presso-scolo-menona-in-comune-di-montegrotto-terme.html"</f>
        <v>https://portaletrasparenza.consorziobacchiglione.it/dettagli/attodigara/7370/noleggio-escavatore-volvo-ecr88d-per-lavori-presso-scolo-menona-in-comune-di-montegrotto-terme.html</v>
      </c>
      <c r="U1241" t="str">
        <f>"https://portaletrasparenza.consorziobacchiglione.it/download/attodigara/7370/63ac45fe4007d.PDF"</f>
        <v>https://portaletrasparenza.consorziobacchiglione.it/download/attodigara/7370/63ac45fe4007d.PDF</v>
      </c>
      <c r="V1241">
        <f>(SUBSTITUTE(Tabella1[[#This Row],[Importo di aggiudicazione]],".",","))-(SUBSTITUTE(  SUBSTITUTE(          SUBSTITUTE(Tabella1[[#This Row],[Dettaglio somme liquidate]],Tabella1[[#This Row],[CIG]]&amp;": [",""),"€ ]",""),".",","))</f>
        <v>5.3600000000000136</v>
      </c>
    </row>
    <row r="1242" spans="1:22" x14ac:dyDescent="0.3">
      <c r="A1242" t="str">
        <f>"Affidamento"</f>
        <v>Affidamento</v>
      </c>
      <c r="B1242" t="str">
        <f>"Noleggio Dumper cingolato presso scolo Drago"</f>
        <v>Noleggio Dumper cingolato presso scolo Drago</v>
      </c>
      <c r="C1242" t="str">
        <f>"ZBE348171B"</f>
        <v>ZBE348171B</v>
      </c>
      <c r="D1242" t="str">
        <f>"21/12/2021"</f>
        <v>21/12/2021</v>
      </c>
      <c r="E1242" t="str">
        <f>""</f>
        <v/>
      </c>
      <c r="F1242" t="str">
        <f>""</f>
        <v/>
      </c>
      <c r="G1242" t="str">
        <f>"5300.00"</f>
        <v>5300.00</v>
      </c>
      <c r="H1242" t="str">
        <f>"Consorzio di bonifica Bacchiglione"</f>
        <v>Consorzio di bonifica Bacchiglione</v>
      </c>
      <c r="I1242" t="str">
        <f>"92223390284"</f>
        <v>92223390284</v>
      </c>
      <c r="J1242" t="str">
        <f>"23-AFFIDAMENTO DIRETTO"</f>
        <v>23-AFFIDAMENTO DIRETTO</v>
      </c>
      <c r="K1242" t="str">
        <f>"20/12/2021"</f>
        <v>20/12/2021</v>
      </c>
      <c r="L1242" t="str">
        <f>"22/12/2021"</f>
        <v>22/12/2021</v>
      </c>
      <c r="M1242" t="str">
        <f>""</f>
        <v/>
      </c>
      <c r="N1242" t="str">
        <f>"Sorme s.n.c. Via Monache 21 35030 Selvazzano Dentro PD"</f>
        <v>Sorme s.n.c. Via Monache 21 35030 Selvazzano Dentro PD</v>
      </c>
      <c r="O1242" t="str">
        <f>"Sorme s.n.c. Via Monache 21 35030 Selvazzano Dentro PD"</f>
        <v>Sorme s.n.c. Via Monache 21 35030 Selvazzano Dentro PD</v>
      </c>
      <c r="P1242" t="s">
        <v>184</v>
      </c>
      <c r="Q1242" t="str">
        <f>""</f>
        <v/>
      </c>
      <c r="R1242" t="str">
        <f>""</f>
        <v/>
      </c>
      <c r="S1242" t="str">
        <f>""</f>
        <v/>
      </c>
      <c r="T1242" t="str">
        <f>"https://portaletrasparenza.consorziobacchiglione.it/dettagli/attodigara/7372/noleggio-dumper-cingolato-presso-scolo-drago.html"</f>
        <v>https://portaletrasparenza.consorziobacchiglione.it/dettagli/attodigara/7372/noleggio-dumper-cingolato-presso-scolo-drago.html</v>
      </c>
      <c r="U1242" t="str">
        <f>"https://portaletrasparenza.consorziobacchiglione.it/download/attodigara/7372/63ac45fe7e737.PDF"</f>
        <v>https://portaletrasparenza.consorziobacchiglione.it/download/attodigara/7372/63ac45fe7e737.PDF</v>
      </c>
      <c r="V12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43" spans="1:22" x14ac:dyDescent="0.3">
      <c r="A1243" t="str">
        <f>"Affidamento"</f>
        <v>Affidamento</v>
      </c>
      <c r="B1243" t="str">
        <f>"Fornitura di materiale lapideo per sistemazioni varie all'interno del comprensorio."</f>
        <v>Fornitura di materiale lapideo per sistemazioni varie all'interno del comprensorio.</v>
      </c>
      <c r="C1243" t="str">
        <f>"Z9A3481058"</f>
        <v>Z9A3481058</v>
      </c>
      <c r="D1243" t="str">
        <f>"21/12/2021"</f>
        <v>21/12/2021</v>
      </c>
      <c r="E1243" t="str">
        <f>""</f>
        <v/>
      </c>
      <c r="F1243" t="str">
        <f>""</f>
        <v/>
      </c>
      <c r="G1243" t="str">
        <f>"30150.00"</f>
        <v>30150.00</v>
      </c>
      <c r="H1243" t="str">
        <f>"Consorzio di bonifica Bacchiglione"</f>
        <v>Consorzio di bonifica Bacchiglione</v>
      </c>
      <c r="I1243" t="str">
        <f>"92223390284"</f>
        <v>92223390284</v>
      </c>
      <c r="J1243" t="str">
        <f>"23-AFFIDAMENTO DIRETTO"</f>
        <v>23-AFFIDAMENTO DIRETTO</v>
      </c>
      <c r="K1243" t="str">
        <f>"20/12/2021"</f>
        <v>20/12/2021</v>
      </c>
      <c r="L1243" t="str">
        <f>"31/12/2021"</f>
        <v>31/12/2021</v>
      </c>
      <c r="M1243" t="str">
        <f>""</f>
        <v/>
      </c>
      <c r="N1243" t="str">
        <f>"Trovò s.r.l. Via Idrovora, 3 - 35020 Codevigo (PD)"</f>
        <v>Trovò s.r.l. Via Idrovora, 3 - 35020 Codevigo (PD)</v>
      </c>
      <c r="O1243" t="str">
        <f>"Trovò s.r.l. Via Idrovora, 3 - 35020 Codevigo (PD)"</f>
        <v>Trovò s.r.l. Via Idrovora, 3 - 35020 Codevigo (PD)</v>
      </c>
      <c r="P1243" t="str">
        <f>"Z9A3481058: [29803.18€ ]"</f>
        <v>Z9A3481058: [29803.18€ ]</v>
      </c>
      <c r="Q1243" t="str">
        <f>""</f>
        <v/>
      </c>
      <c r="R1243" t="str">
        <f>""</f>
        <v/>
      </c>
      <c r="S1243" t="str">
        <f>""</f>
        <v/>
      </c>
      <c r="T1243" t="str">
        <f>"https://portaletrasparenza.consorziobacchiglione.it/dettagli/attodigara/7371/fornitura-di-materiale-lapideo-per-sistemazioni-varie-all-interno-del-comprensorio.html"</f>
        <v>https://portaletrasparenza.consorziobacchiglione.it/dettagli/attodigara/7371/fornitura-di-materiale-lapideo-per-sistemazioni-varie-all-interno-del-comprensorio.html</v>
      </c>
      <c r="U1243" t="str">
        <f>"https://portaletrasparenza.consorziobacchiglione.it/download/attodigara/7371/63e646e86c760.PDF"</f>
        <v>https://portaletrasparenza.consorziobacchiglione.it/download/attodigara/7371/63e646e86c760.PDF</v>
      </c>
      <c r="V1243">
        <f>(SUBSTITUTE(Tabella1[[#This Row],[Importo di aggiudicazione]],".",","))-(SUBSTITUTE(  SUBSTITUTE(          SUBSTITUTE(Tabella1[[#This Row],[Dettaglio somme liquidate]],Tabella1[[#This Row],[CIG]]&amp;": [",""),"€ ]",""),".",","))</f>
        <v>346.81999999999971</v>
      </c>
    </row>
    <row r="1244" spans="1:22" x14ac:dyDescent="0.3">
      <c r="A1244" t="str">
        <f>"Affidamento"</f>
        <v>Affidamento</v>
      </c>
      <c r="B1244" t="str">
        <f>"RIPARAZIONE E MANUTENZIONE GRUPPO ELETTROGENO PRESSO IDROVORA MADONNETTA, IDROVORA TREZZE, IDROVORA BOVOLENTA, IDROVORA FOSSETTA, IDROVORA MAESTRO, IDROVORA VASO CAVAIZZE, IDROVORA BERNIO"</f>
        <v>RIPARAZIONE E MANUTENZIONE GRUPPO ELETTROGENO PRESSO IDROVORA MADONNETTA, IDROVORA TREZZE, IDROVORA BOVOLENTA, IDROVORA FOSSETTA, IDROVORA MAESTRO, IDROVORA VASO CAVAIZZE, IDROVORA BERNIO</v>
      </c>
      <c r="C1244" t="str">
        <f>"Z5334811CC"</f>
        <v>Z5334811CC</v>
      </c>
      <c r="D1244" t="str">
        <f>"21/12/2021"</f>
        <v>21/12/2021</v>
      </c>
      <c r="E1244" t="str">
        <f>""</f>
        <v/>
      </c>
      <c r="F1244" t="str">
        <f>""</f>
        <v/>
      </c>
      <c r="G1244" t="str">
        <f>"6967.93"</f>
        <v>6967.93</v>
      </c>
      <c r="H1244" t="str">
        <f>"CONSORZIO DI BONIFICA BACCHIGLIONE"</f>
        <v>CONSORZIO DI BONIFICA BACCHIGLIONE</v>
      </c>
      <c r="I1244" t="str">
        <f>"92223390284"</f>
        <v>92223390284</v>
      </c>
      <c r="J1244" t="str">
        <f>"23-AFFIDAMENTO DIRETTO"</f>
        <v>23-AFFIDAMENTO DIRETTO</v>
      </c>
      <c r="K1244" t="str">
        <f>"20/12/2021"</f>
        <v>20/12/2021</v>
      </c>
      <c r="L1244" t="str">
        <f>"31/12/2021"</f>
        <v>31/12/2021</v>
      </c>
      <c r="M1244" t="str">
        <f>""</f>
        <v/>
      </c>
      <c r="N1244" t="str">
        <f>"ITALMOTORI S.R.L."</f>
        <v>ITALMOTORI S.R.L.</v>
      </c>
      <c r="O1244" t="str">
        <f>"ITALMOTORI S.R.L."</f>
        <v>ITALMOTORI S.R.L.</v>
      </c>
      <c r="P1244" t="str">
        <f>"Z5334811CC: [0.00€ ]"</f>
        <v>Z5334811CC: [0.00€ ]</v>
      </c>
      <c r="Q1244" t="str">
        <f>""</f>
        <v/>
      </c>
      <c r="R1244" t="str">
        <f>""</f>
        <v/>
      </c>
      <c r="S1244" t="str">
        <f>""</f>
        <v/>
      </c>
      <c r="T1244" t="s">
        <v>25</v>
      </c>
      <c r="U1244" t="str">
        <f>""</f>
        <v/>
      </c>
      <c r="V1244">
        <f>(SUBSTITUTE(Tabella1[[#This Row],[Importo di aggiudicazione]],".",","))-(SUBSTITUTE(  SUBSTITUTE(          SUBSTITUTE(Tabella1[[#This Row],[Dettaglio somme liquidate]],Tabella1[[#This Row],[CIG]]&amp;": [",""),"€ ]",""),".",","))</f>
        <v>6967.93</v>
      </c>
    </row>
    <row r="1245" spans="1:22" x14ac:dyDescent="0.3">
      <c r="A1245" t="str">
        <f>"Affidamento"</f>
        <v>Affidamento</v>
      </c>
      <c r="B1245" t="str">
        <f>"Rinnovo contratto triennale, con scadenza 31.12.2024, di assistenza e manutenzione software Esprosit99/ - Processo ID 004-21."</f>
        <v>Rinnovo contratto triennale, con scadenza 31.12.2024, di assistenza e manutenzione software Esprosit99/ - Processo ID 004-21.</v>
      </c>
      <c r="C1245" t="str">
        <f>"ZAE347D310"</f>
        <v>ZAE347D310</v>
      </c>
      <c r="D1245" t="str">
        <f>"22/12/2021"</f>
        <v>22/12/2021</v>
      </c>
      <c r="E1245" t="str">
        <f>""</f>
        <v/>
      </c>
      <c r="F1245" t="str">
        <f>""</f>
        <v/>
      </c>
      <c r="G1245" t="str">
        <f>"4090.50"</f>
        <v>4090.50</v>
      </c>
      <c r="H1245" t="str">
        <f>"Consorzio di bonifica Bacchiglione"</f>
        <v>Consorzio di bonifica Bacchiglione</v>
      </c>
      <c r="I1245" t="str">
        <f>"92223390284"</f>
        <v>92223390284</v>
      </c>
      <c r="J1245" t="str">
        <f>"23-AFFIDAMENTO DIRETTO"</f>
        <v>23-AFFIDAMENTO DIRETTO</v>
      </c>
      <c r="K1245" t="str">
        <f>"20/12/2021"</f>
        <v>20/12/2021</v>
      </c>
      <c r="L1245" t="str">
        <f>"24/03/2022"</f>
        <v>24/03/2022</v>
      </c>
      <c r="M1245" t="str">
        <f>""</f>
        <v/>
      </c>
      <c r="N1245" t="str">
        <f>"SITECO Informatica s.r.l."</f>
        <v>SITECO Informatica s.r.l.</v>
      </c>
      <c r="O1245" t="str">
        <f>"SITECO Informatica s.r.l."</f>
        <v>SITECO Informatica s.r.l.</v>
      </c>
      <c r="P1245" t="str">
        <f>"ZAE347D310: [4090.50€ ]"</f>
        <v>ZAE347D310: [4090.50€ ]</v>
      </c>
      <c r="Q1245" t="str">
        <f>""</f>
        <v/>
      </c>
      <c r="R1245" t="str">
        <f>""</f>
        <v/>
      </c>
      <c r="S1245" t="str">
        <f>""</f>
        <v/>
      </c>
      <c r="T1245" t="str">
        <f>"https://portaletrasparenza.consorziobacchiglione.it/dettagli/attodigara/7366/rinnovo-contratto-triennale-con-scadenza-31-12-2024-di-assistenza-e-manutenzione-software-esprosit99-processo-id-004-21.html"</f>
        <v>https://portaletrasparenza.consorziobacchiglione.it/dettagli/attodigara/7366/rinnovo-contratto-triennale-con-scadenza-31-12-2024-di-assistenza-e-manutenzione-software-esprosit99-processo-id-004-21.html</v>
      </c>
      <c r="U1245" t="str">
        <f>"https://portaletrasparenza.consorziobacchiglione.it/download/attodigara/7366/63ac45ffe2813.PDF"</f>
        <v>https://portaletrasparenza.consorziobacchiglione.it/download/attodigara/7366/63ac45ffe2813.PDF</v>
      </c>
      <c r="V124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46" spans="1:22" x14ac:dyDescent="0.3">
      <c r="A1246" t="str">
        <f>"Affidamento"</f>
        <v>Affidamento</v>
      </c>
      <c r="B1246" t="str">
        <f>"Manutenzione caldaie riscaldamento su fabbricati Consorziali."</f>
        <v>Manutenzione caldaie riscaldamento su fabbricati Consorziali.</v>
      </c>
      <c r="C1246" t="str">
        <f>"Z4B1822E40"</f>
        <v>Z4B1822E40</v>
      </c>
      <c r="D1246" t="str">
        <f>"04/11/2021"</f>
        <v>04/11/2021</v>
      </c>
      <c r="E1246" t="str">
        <f>""</f>
        <v/>
      </c>
      <c r="F1246" t="str">
        <f>""</f>
        <v/>
      </c>
      <c r="G1246" t="str">
        <f>"1460.00"</f>
        <v>1460.00</v>
      </c>
      <c r="H1246" t="str">
        <f>"Consorzio di bonifica Bacchiglione"</f>
        <v>Consorzio di bonifica Bacchiglione</v>
      </c>
      <c r="I1246" t="str">
        <f>"92223390284"</f>
        <v>92223390284</v>
      </c>
      <c r="J1246" t="str">
        <f>"23-AFFIDAMENTO DIRETTO"</f>
        <v>23-AFFIDAMENTO DIRETTO</v>
      </c>
      <c r="K1246" t="str">
        <f>"21/01/2021"</f>
        <v>21/01/2021</v>
      </c>
      <c r="L1246" t="str">
        <f>"18/03/2021"</f>
        <v>18/03/2021</v>
      </c>
      <c r="M1246" t="str">
        <f>""</f>
        <v/>
      </c>
      <c r="N1246" t="str">
        <f>"Giraldo Impianti SNC di Giraldo Danilo e Silvio Via Flli Cervi 1-II 30010 Campolongo Maggiore VE"</f>
        <v>Giraldo Impianti SNC di Giraldo Danilo e Silvio Via Flli Cervi 1-II 30010 Campolongo Maggiore VE</v>
      </c>
      <c r="O1246" t="str">
        <f>"Giraldo Impianti SNC di Giraldo Danilo e Silvio Via Flli Cervi 1-II 30010 Campolongo Maggiore VE"</f>
        <v>Giraldo Impianti SNC di Giraldo Danilo e Silvio Via Flli Cervi 1-II 30010 Campolongo Maggiore VE</v>
      </c>
      <c r="P1246" t="str">
        <f>"Z4B1822E40: [1460.00€ ]"</f>
        <v>Z4B1822E40: [1460.00€ ]</v>
      </c>
      <c r="Q1246" t="str">
        <f>""</f>
        <v/>
      </c>
      <c r="R1246" t="str">
        <f>""</f>
        <v/>
      </c>
      <c r="S1246" t="str">
        <f>""</f>
        <v/>
      </c>
      <c r="T1246" t="str">
        <f>"https://portaletrasparenza.consorziobacchiglione.it/dettagli/attodigara/84/manutenzione-caldaie-riscaldamento-su-fabbricati-consorziali.html"</f>
        <v>https://portaletrasparenza.consorziobacchiglione.it/dettagli/attodigara/84/manutenzione-caldaie-riscaldamento-su-fabbricati-consorziali.html</v>
      </c>
      <c r="U1246" t="str">
        <f>""</f>
        <v/>
      </c>
      <c r="V12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47" spans="1:22" x14ac:dyDescent="0.3">
      <c r="A1247" t="str">
        <f>"Affidamento"</f>
        <v>Affidamento</v>
      </c>
      <c r="B1247" t="str">
        <f>"Noleggio Miniescavatore cingolato 55Q per lavori presso scolo Bottesina"</f>
        <v>Noleggio Miniescavatore cingolato 55Q per lavori presso scolo Bottesina</v>
      </c>
      <c r="C1247" t="str">
        <f>"ZA83050226"</f>
        <v>ZA83050226</v>
      </c>
      <c r="D1247" t="str">
        <f>"21/01/2021"</f>
        <v>21/01/2021</v>
      </c>
      <c r="E1247" t="str">
        <f>""</f>
        <v/>
      </c>
      <c r="F1247" t="str">
        <f>""</f>
        <v/>
      </c>
      <c r="G1247" t="str">
        <f>"2940.00"</f>
        <v>2940.00</v>
      </c>
      <c r="H1247" t="str">
        <f>"Consorzio di bonifica Bacchiglione"</f>
        <v>Consorzio di bonifica Bacchiglione</v>
      </c>
      <c r="I1247" t="str">
        <f>"92223390284"</f>
        <v>92223390284</v>
      </c>
      <c r="J1247" t="str">
        <f>"23-AFFIDAMENTO DIRETTO"</f>
        <v>23-AFFIDAMENTO DIRETTO</v>
      </c>
      <c r="K1247" t="str">
        <f>"21/01/2021"</f>
        <v>21/01/2021</v>
      </c>
      <c r="L1247" t="str">
        <f>"29/01/2021"</f>
        <v>29/01/2021</v>
      </c>
      <c r="M1247" t="str">
        <f>""</f>
        <v/>
      </c>
      <c r="N1247" t="str">
        <f>"Sorme s.n.c. Via Monache 21 35030 Selvazzano Dentro PD"</f>
        <v>Sorme s.n.c. Via Monache 21 35030 Selvazzano Dentro PD</v>
      </c>
      <c r="O1247" t="str">
        <f>"Sorme s.n.c. Via Monache 21 35030 Selvazzano Dentro PD"</f>
        <v>Sorme s.n.c. Via Monache 21 35030 Selvazzano Dentro PD</v>
      </c>
      <c r="P1247" t="str">
        <f>"ZA83050226: [2940.00€ ]"</f>
        <v>ZA83050226: [2940.00€ ]</v>
      </c>
      <c r="Q1247" t="str">
        <f>""</f>
        <v/>
      </c>
      <c r="R1247" t="str">
        <f>""</f>
        <v/>
      </c>
      <c r="S1247" t="str">
        <f>""</f>
        <v/>
      </c>
      <c r="T1247" t="str">
        <f>"https://portaletrasparenza.consorziobacchiglione.it/dettagli/attodigara/6569/noleggio-miniescavatore-cingolato-55q-per-lavori-presso-scolo-bottesina.html"</f>
        <v>https://portaletrasparenza.consorziobacchiglione.it/dettagli/attodigara/6569/noleggio-miniescavatore-cingolato-55q-per-lavori-presso-scolo-bottesina.html</v>
      </c>
      <c r="U1247" t="str">
        <f>"https://portaletrasparenza.consorziobacchiglione.it/download/attodigara/6569/63ac454ce52bd.PDF"</f>
        <v>https://portaletrasparenza.consorziobacchiglione.it/download/attodigara/6569/63ac454ce52bd.PDF</v>
      </c>
      <c r="V124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48" spans="1:22" x14ac:dyDescent="0.3">
      <c r="A1248" t="str">
        <f>"Affidamento"</f>
        <v>Affidamento</v>
      </c>
      <c r="B1248" t="str">
        <f>"Opere in diretta amministrazione."</f>
        <v>Opere in diretta amministrazione.</v>
      </c>
      <c r="C1248" t="str">
        <f>"ZDC304F6AC"</f>
        <v>ZDC304F6AC</v>
      </c>
      <c r="D1248" t="str">
        <f>"21/01/2021"</f>
        <v>21/01/2021</v>
      </c>
      <c r="E1248" t="str">
        <f>""</f>
        <v/>
      </c>
      <c r="F1248" t="str">
        <f>""</f>
        <v/>
      </c>
      <c r="G1248" t="str">
        <f>"24873.74"</f>
        <v>24873.74</v>
      </c>
      <c r="H1248" t="str">
        <f>"Consorzio di bonifica Bacchiglione"</f>
        <v>Consorzio di bonifica Bacchiglione</v>
      </c>
      <c r="I1248" t="str">
        <f>"92223390284"</f>
        <v>92223390284</v>
      </c>
      <c r="J1248" t="str">
        <f>"23-AFFIDAMENTO DIRETTO"</f>
        <v>23-AFFIDAMENTO DIRETTO</v>
      </c>
      <c r="K1248" t="str">
        <f>"21/01/2021"</f>
        <v>21/01/2021</v>
      </c>
      <c r="L1248" t="str">
        <f>"27/08/2021"</f>
        <v>27/08/2021</v>
      </c>
      <c r="M1248" t="str">
        <f>""</f>
        <v/>
      </c>
      <c r="N1248" t="str">
        <f>"Viale Valter | GARDIN SANDRO | C.I.MO.TER S.R.L."</f>
        <v>Viale Valter | GARDIN SANDRO | C.I.MO.TER S.R.L.</v>
      </c>
      <c r="O1248" t="str">
        <f>"Viale Valter"</f>
        <v>Viale Valter</v>
      </c>
      <c r="P1248" t="str">
        <f>"ZDC304F6AC: [24873.74€ ]"</f>
        <v>ZDC304F6AC: [24873.74€ ]</v>
      </c>
      <c r="Q1248" t="str">
        <f>""</f>
        <v/>
      </c>
      <c r="R1248" t="str">
        <f>""</f>
        <v/>
      </c>
      <c r="S1248" t="str">
        <f>""</f>
        <v/>
      </c>
      <c r="T1248" t="str">
        <f>"https://portaletrasparenza.consorziobacchiglione.it/dettagli/attodigara/6568/opere-in-diretta-amministrazione.html"</f>
        <v>https://portaletrasparenza.consorziobacchiglione.it/dettagli/attodigara/6568/opere-in-diretta-amministrazione.html</v>
      </c>
      <c r="U1248" t="str">
        <f>"https://portaletrasparenza.consorziobacchiglione.it/download/attodigara/6568/63ac454d632b0.PDF"</f>
        <v>https://portaletrasparenza.consorziobacchiglione.it/download/attodigara/6568/63ac454d632b0.PDF</v>
      </c>
      <c r="V12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49" spans="1:22" x14ac:dyDescent="0.3">
      <c r="A1249" t="str">
        <f>"Affidamento"</f>
        <v>Affidamento</v>
      </c>
      <c r="B1249" t="str">
        <f>"Fornitura ricambi vari per mezzi consortili"</f>
        <v>Fornitura ricambi vari per mezzi consortili</v>
      </c>
      <c r="C1249" t="str">
        <f>"Z01304EAB5"</f>
        <v>Z01304EAB5</v>
      </c>
      <c r="D1249" t="str">
        <f>"21/01/2021"</f>
        <v>21/01/2021</v>
      </c>
      <c r="E1249" t="str">
        <f>""</f>
        <v/>
      </c>
      <c r="F1249" t="str">
        <f>""</f>
        <v/>
      </c>
      <c r="G1249" t="str">
        <f>"279.50"</f>
        <v>279.50</v>
      </c>
      <c r="H1249" t="str">
        <f>"Consorzio di bonifica Bacchiglione"</f>
        <v>Consorzio di bonifica Bacchiglione</v>
      </c>
      <c r="I1249" t="str">
        <f>"92223390284"</f>
        <v>92223390284</v>
      </c>
      <c r="J1249" t="str">
        <f>"23-AFFIDAMENTO DIRETTO"</f>
        <v>23-AFFIDAMENTO DIRETTO</v>
      </c>
      <c r="K1249" t="str">
        <f>"21/01/2021"</f>
        <v>21/01/2021</v>
      </c>
      <c r="L1249" t="str">
        <f>"29/01/2021"</f>
        <v>29/01/2021</v>
      </c>
      <c r="M1249" t="str">
        <f>""</f>
        <v/>
      </c>
      <c r="N1249" t="str">
        <f>"Autoricambi s.n.c. di Mardegan Paolo e Manfron Veronica Via A.Valerio 26-28 Piove di Sacco PD"</f>
        <v>Autoricambi s.n.c. di Mardegan Paolo e Manfron Veronica Via A.Valerio 26-28 Piove di Sacco PD</v>
      </c>
      <c r="O1249" t="str">
        <f>"Autoricambi s.n.c. di Mardegan Paolo e Manfron Veronica Via A.Valerio 26-28 Piove di Sacco PD"</f>
        <v>Autoricambi s.n.c. di Mardegan Paolo e Manfron Veronica Via A.Valerio 26-28 Piove di Sacco PD</v>
      </c>
      <c r="P1249" t="str">
        <f>"Z01304EAB5: [279.50€ ]"</f>
        <v>Z01304EAB5: [279.50€ ]</v>
      </c>
      <c r="Q1249" t="str">
        <f>""</f>
        <v/>
      </c>
      <c r="R1249" t="str">
        <f>""</f>
        <v/>
      </c>
      <c r="S1249" t="str">
        <f>""</f>
        <v/>
      </c>
      <c r="T1249" t="str">
        <f>"https://portaletrasparenza.consorziobacchiglione.it/dettagli/attodigara/6567/fornitura-ricambi-vari-per-mezzi-consortili.html"</f>
        <v>https://portaletrasparenza.consorziobacchiglione.it/dettagli/attodigara/6567/fornitura-ricambi-vari-per-mezzi-consortili.html</v>
      </c>
      <c r="U1249" t="str">
        <f>"https://portaletrasparenza.consorziobacchiglione.it/download/attodigara/6567/63ac454d294e0.PDF"</f>
        <v>https://portaletrasparenza.consorziobacchiglione.it/download/attodigara/6567/63ac454d294e0.PDF</v>
      </c>
      <c r="V12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50" spans="1:22" x14ac:dyDescent="0.3">
      <c r="A1250" t="str">
        <f>"Affidamento"</f>
        <v>Affidamento</v>
      </c>
      <c r="B1250" t="str">
        <f>"Trasporto andata e ritorno n.2 trattori Valtra 104 targati: AKS633 e AKS681 da C.O.S.Margherita ad Hymach Srl"</f>
        <v>Trasporto andata e ritorno n.2 trattori Valtra 104 targati: AKS633 e AKS681 da C.O.S.Margherita ad Hymach Srl</v>
      </c>
      <c r="C1250" t="str">
        <f>"Z7C304D5EF"</f>
        <v>Z7C304D5EF</v>
      </c>
      <c r="D1250" t="str">
        <f>"21/01/2021"</f>
        <v>21/01/2021</v>
      </c>
      <c r="E1250" t="str">
        <f>""</f>
        <v/>
      </c>
      <c r="F1250" t="str">
        <f>""</f>
        <v/>
      </c>
      <c r="G1250" t="str">
        <f>"480.00"</f>
        <v>480.00</v>
      </c>
      <c r="H1250" t="str">
        <f>"Consorzio di bonifica Bacchiglione"</f>
        <v>Consorzio di bonifica Bacchiglione</v>
      </c>
      <c r="I1250" t="str">
        <f>"92223390284"</f>
        <v>92223390284</v>
      </c>
      <c r="J1250" t="str">
        <f>"23-AFFIDAMENTO DIRETTO"</f>
        <v>23-AFFIDAMENTO DIRETTO</v>
      </c>
      <c r="K1250" t="str">
        <f>"21/01/2021"</f>
        <v>21/01/2021</v>
      </c>
      <c r="L1250" t="str">
        <f>"28/01/2021"</f>
        <v>28/01/2021</v>
      </c>
      <c r="M1250" t="str">
        <f>""</f>
        <v/>
      </c>
      <c r="N1250" t="str">
        <f>"Trovò s.r.l. Via Idrovora, 3 - 35020 Codevigo (PD)"</f>
        <v>Trovò s.r.l. Via Idrovora, 3 - 35020 Codevigo (PD)</v>
      </c>
      <c r="O1250" t="str">
        <f>"Trovò s.r.l. Via Idrovora, 3 - 35020 Codevigo (PD)"</f>
        <v>Trovò s.r.l. Via Idrovora, 3 - 35020 Codevigo (PD)</v>
      </c>
      <c r="P1250" t="str">
        <f>"Z7C304D5EF: [480.00€ ]"</f>
        <v>Z7C304D5EF: [480.00€ ]</v>
      </c>
      <c r="Q1250" t="str">
        <f>""</f>
        <v/>
      </c>
      <c r="R1250" t="str">
        <f>""</f>
        <v/>
      </c>
      <c r="S1250" t="str">
        <f>""</f>
        <v/>
      </c>
      <c r="T1250" t="str">
        <f>"https://portaletrasparenza.consorziobacchiglione.it/dettagli/attodigara/6566/trasporto-andata-e-ritorno-n-2-trattori-valtra-104-targati-aks633-e-aks681-da-c-o-s-margherita-ad-hymach-srl.html"</f>
        <v>https://portaletrasparenza.consorziobacchiglione.it/dettagli/attodigara/6566/trasporto-andata-e-ritorno-n-2-trattori-valtra-104-targati-aks633-e-aks681-da-c-o-s-margherita-ad-hymach-srl.html</v>
      </c>
      <c r="U1250" t="str">
        <f>"https://portaletrasparenza.consorziobacchiglione.it/download/attodigara/6566/63ac454caceab.PDF"</f>
        <v>https://portaletrasparenza.consorziobacchiglione.it/download/attodigara/6566/63ac454caceab.PDF</v>
      </c>
      <c r="V125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51" spans="1:22" x14ac:dyDescent="0.3">
      <c r="A1251" t="str">
        <f>"Affidamento"</f>
        <v>Affidamento</v>
      </c>
      <c r="B1251" t="str">
        <f>"Manutenzione e riparazione braccio decespugliatore del mezzo targato: AKB015 più tagliando completo del mezzo con targa: AKS681"</f>
        <v>Manutenzione e riparazione braccio decespugliatore del mezzo targato: AKB015 più tagliando completo del mezzo con targa: AKS681</v>
      </c>
      <c r="C1251" t="str">
        <f>"Z13304CA4D"</f>
        <v>Z13304CA4D</v>
      </c>
      <c r="D1251" t="str">
        <f>"21/01/2021"</f>
        <v>21/01/2021</v>
      </c>
      <c r="E1251" t="str">
        <f>""</f>
        <v/>
      </c>
      <c r="F1251" t="str">
        <f>""</f>
        <v/>
      </c>
      <c r="G1251" t="str">
        <f>"6932.02"</f>
        <v>6932.02</v>
      </c>
      <c r="H1251" t="str">
        <f>"Consorzio di bonifica Bacchiglione"</f>
        <v>Consorzio di bonifica Bacchiglione</v>
      </c>
      <c r="I1251" t="str">
        <f>"92223390284"</f>
        <v>92223390284</v>
      </c>
      <c r="J1251" t="str">
        <f>"23-AFFIDAMENTO DIRETTO"</f>
        <v>23-AFFIDAMENTO DIRETTO</v>
      </c>
      <c r="K1251" t="str">
        <f>"21/01/2021"</f>
        <v>21/01/2021</v>
      </c>
      <c r="L1251" t="str">
        <f>"29/01/2021"</f>
        <v>29/01/2021</v>
      </c>
      <c r="M1251" t="str">
        <f>""</f>
        <v/>
      </c>
      <c r="N1251" t="str">
        <f>"Officina Biesse S.n.c. Via Matteotti 24 35020 Arzergrande PD"</f>
        <v>Officina Biesse S.n.c. Via Matteotti 24 35020 Arzergrande PD</v>
      </c>
      <c r="O1251" t="str">
        <f>"Officina Biesse S.n.c. Via Matteotti 24 35020 Arzergrande PD"</f>
        <v>Officina Biesse S.n.c. Via Matteotti 24 35020 Arzergrande PD</v>
      </c>
      <c r="P1251" t="str">
        <f>"Z13304CA4D: [6932.02€ ]"</f>
        <v>Z13304CA4D: [6932.02€ ]</v>
      </c>
      <c r="Q1251" t="str">
        <f>""</f>
        <v/>
      </c>
      <c r="R1251" t="str">
        <f>""</f>
        <v/>
      </c>
      <c r="S1251" t="str">
        <f>""</f>
        <v/>
      </c>
      <c r="T1251" t="str">
        <f>"https://portaletrasparenza.consorziobacchiglione.it/dettagli/attodigara/6564/manutenzione-e-riparazione-braccio-decespugliatore-del-mezzo-targato-akb015-piu-tagliando-completo-del-mezzo-con-targa-aks681.html"</f>
        <v>https://portaletrasparenza.consorziobacchiglione.it/dettagli/attodigara/6564/manutenzione-e-riparazione-braccio-decespugliatore-del-mezzo-targato-akb015-piu-tagliando-completo-del-mezzo-con-targa-aks681.html</v>
      </c>
      <c r="U1251" t="str">
        <f>"https://portaletrasparenza.consorziobacchiglione.it/download/attodigara/6564/63ac454c74a95.PDF"</f>
        <v>https://portaletrasparenza.consorziobacchiglione.it/download/attodigara/6564/63ac454c74a95.PDF</v>
      </c>
      <c r="V125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52" spans="1:22" x14ac:dyDescent="0.3">
      <c r="A1252" t="str">
        <f>"Affidamento"</f>
        <v>Affidamento</v>
      </c>
      <c r="B1252" t="str">
        <f>"Manutenzione e riparazione mezzo con targa: EP107XC"</f>
        <v>Manutenzione e riparazione mezzo con targa: EP107XC</v>
      </c>
      <c r="C1252" t="str">
        <f>"Z6D304CDF8"</f>
        <v>Z6D304CDF8</v>
      </c>
      <c r="D1252" t="str">
        <f>"26/01/2021"</f>
        <v>26/01/2021</v>
      </c>
      <c r="E1252" t="str">
        <f>""</f>
        <v/>
      </c>
      <c r="F1252" t="str">
        <f>""</f>
        <v/>
      </c>
      <c r="G1252" t="str">
        <f>"875.70"</f>
        <v>875.70</v>
      </c>
      <c r="H1252" t="str">
        <f>"Consorzio di bonifica Bacchiglione"</f>
        <v>Consorzio di bonifica Bacchiglione</v>
      </c>
      <c r="I1252" t="str">
        <f>"92223390284"</f>
        <v>92223390284</v>
      </c>
      <c r="J1252" t="str">
        <f>"23-AFFIDAMENTO DIRETTO"</f>
        <v>23-AFFIDAMENTO DIRETTO</v>
      </c>
      <c r="K1252" t="str">
        <f>"21/01/2021"</f>
        <v>21/01/2021</v>
      </c>
      <c r="L1252" t="str">
        <f>"31/01/2021"</f>
        <v>31/01/2021</v>
      </c>
      <c r="M1252" t="str">
        <f>""</f>
        <v/>
      </c>
      <c r="N1252" t="str">
        <f>"Officina Autotreni Carraro Franco srl Via Gelsi 79 35028 Piove di Sacco PD"</f>
        <v>Officina Autotreni Carraro Franco srl Via Gelsi 79 35028 Piove di Sacco PD</v>
      </c>
      <c r="O1252" t="str">
        <f>"Officina Autotreni Carraro Franco srl Via Gelsi 79 35028 Piove di Sacco PD"</f>
        <v>Officina Autotreni Carraro Franco srl Via Gelsi 79 35028 Piove di Sacco PD</v>
      </c>
      <c r="P1252" t="str">
        <f>"Z6D304CDF8: [875.70€ ]"</f>
        <v>Z6D304CDF8: [875.70€ ]</v>
      </c>
      <c r="Q1252" t="str">
        <f>""</f>
        <v/>
      </c>
      <c r="R1252" t="str">
        <f>""</f>
        <v/>
      </c>
      <c r="S1252" t="str">
        <f>""</f>
        <v/>
      </c>
      <c r="T1252" t="str">
        <f>"https://portaletrasparenza.consorziobacchiglione.it/dettagli/attodigara/6565/manutenzione-e-riparazione-mezzo-con-targa-ep107xc.html"</f>
        <v>https://portaletrasparenza.consorziobacchiglione.it/dettagli/attodigara/6565/manutenzione-e-riparazione-mezzo-con-targa-ep107xc.html</v>
      </c>
      <c r="U1252" t="str">
        <f>"https://portaletrasparenza.consorziobacchiglione.it/download/attodigara/6565/63ac454f7f072.PDF"</f>
        <v>https://portaletrasparenza.consorziobacchiglione.it/download/attodigara/6565/63ac454f7f072.PDF</v>
      </c>
      <c r="V12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53" spans="1:22" x14ac:dyDescent="0.3">
      <c r="A1253" t="str">
        <f>"Affidamento"</f>
        <v>Affidamento</v>
      </c>
      <c r="B1253" t="str">
        <f>"ID 023-21 - Procedura negoziata, previa indagine di mercato, per la fornitura di pali di castagno per l'anno 2022 presso i cantieri di lavoro di ripresa spondale in diretta amministrazione nell'ambito del comprensorio del Consorzio di bonifica B"</f>
        <v>ID 023-21 - Procedura negoziata, previa indagine di mercato, per la fornitura di pali di castagno per l'anno 2022 presso i cantieri di lavoro di ripresa spondale in diretta amministrazione nell'ambito del comprensorio del Consorzio di bonifica B</v>
      </c>
      <c r="C1253" t="str">
        <f>"89046730A0"</f>
        <v>89046730A0</v>
      </c>
      <c r="D1253" t="str">
        <f>"06/12/2021"</f>
        <v>06/12/2021</v>
      </c>
      <c r="E1253" t="str">
        <f>""</f>
        <v/>
      </c>
      <c r="F1253" t="str">
        <f>""</f>
        <v/>
      </c>
      <c r="G1253" t="str">
        <f>"193806.00"</f>
        <v>193806.00</v>
      </c>
      <c r="H1253" t="str">
        <f>"Consorzio di bonifica Bacchiglione"</f>
        <v>Consorzio di bonifica Bacchiglione</v>
      </c>
      <c r="I1253" t="str">
        <f>"92223390284"</f>
        <v>92223390284</v>
      </c>
      <c r="J1253" t="str">
        <f>"33-PROCEDURA NEGOZIATA PER AFFIDAMENTI SOTTO SOGLIA"</f>
        <v>33-PROCEDURA NEGOZIATA PER AFFIDAMENTI SOTTO SOGLIA</v>
      </c>
      <c r="K1253" t="str">
        <f>"21/01/2021"</f>
        <v>21/01/2021</v>
      </c>
      <c r="L1253" t="str">
        <f>"25/01/2022"</f>
        <v>25/01/2022</v>
      </c>
      <c r="M1253" t="str">
        <f>""</f>
        <v/>
      </c>
      <c r="N1253" t="str">
        <f>"Dese Legnami | F.A.L.C. S.R.L. | IMPRESUD S.R.L."</f>
        <v>Dese Legnami | F.A.L.C. S.R.L. | IMPRESUD S.R.L.</v>
      </c>
      <c r="O1253" t="str">
        <f>"Dese Legnami"</f>
        <v>Dese Legnami</v>
      </c>
      <c r="P1253" t="str">
        <f>"89046730A0: [193799.01€ ]"</f>
        <v>89046730A0: [193799.01€ ]</v>
      </c>
      <c r="Q1253" t="str">
        <f>""</f>
        <v/>
      </c>
      <c r="R1253" t="str">
        <f>""</f>
        <v/>
      </c>
      <c r="S1253" t="str">
        <f>""</f>
        <v/>
      </c>
      <c r="T1253" t="s">
        <v>28</v>
      </c>
      <c r="U1253" t="str">
        <f>"https://portaletrasparenza.consorziobacchiglione.it/download/attodigara/6502/63ac45f6ab01d.PDF"</f>
        <v>https://portaletrasparenza.consorziobacchiglione.it/download/attodigara/6502/63ac45f6ab01d.PDF</v>
      </c>
      <c r="V1253">
        <f>(SUBSTITUTE(Tabella1[[#This Row],[Importo di aggiudicazione]],".",","))-(SUBSTITUTE(  SUBSTITUTE(          SUBSTITUTE(Tabella1[[#This Row],[Dettaglio somme liquidate]],Tabella1[[#This Row],[CIG]]&amp;": [",""),"€ ]",""),".",","))</f>
        <v>6.9899999999906868</v>
      </c>
    </row>
    <row r="1254" spans="1:22" x14ac:dyDescent="0.3">
      <c r="A1254" t="str">
        <f>"Affidamento"</f>
        <v>Affidamento</v>
      </c>
      <c r="B1254" t="str">
        <f>"Accettazione preventivo per nuovo allacciamento Paratoia Morandi in via Timavo - Processo ID 006-03."</f>
        <v>Accettazione preventivo per nuovo allacciamento Paratoia Morandi in via Timavo - Processo ID 006-03.</v>
      </c>
      <c r="C1254" t="str">
        <f>"Z4B1912DC4"</f>
        <v>Z4B1912DC4</v>
      </c>
      <c r="D1254" t="str">
        <f>"04/11/2021"</f>
        <v>04/11/2021</v>
      </c>
      <c r="E1254" t="str">
        <f>""</f>
        <v/>
      </c>
      <c r="F1254" t="str">
        <f>""</f>
        <v/>
      </c>
      <c r="G1254" t="str">
        <f>"4434.23"</f>
        <v>4434.23</v>
      </c>
      <c r="H1254" t="str">
        <f>"Consorzio di bonifica Bacchiglione"</f>
        <v>Consorzio di bonifica Bacchiglione</v>
      </c>
      <c r="I1254" t="str">
        <f>"92223390284"</f>
        <v>92223390284</v>
      </c>
      <c r="J1254" t="str">
        <f>"23-AFFIDAMENTO DIRETTO"</f>
        <v>23-AFFIDAMENTO DIRETTO</v>
      </c>
      <c r="K1254" t="str">
        <f>"21/03/2021"</f>
        <v>21/03/2021</v>
      </c>
      <c r="L1254" t="str">
        <f>"12/04/2021"</f>
        <v>12/04/2021</v>
      </c>
      <c r="M1254" t="str">
        <f>""</f>
        <v/>
      </c>
      <c r="N1254" t="str">
        <f>"AGSM Energia S.p.A."</f>
        <v>AGSM Energia S.p.A.</v>
      </c>
      <c r="O1254" t="str">
        <f>"AGSM Energia S.p.A."</f>
        <v>AGSM Energia S.p.A.</v>
      </c>
      <c r="P1254" t="s">
        <v>212</v>
      </c>
      <c r="Q1254" t="str">
        <f>""</f>
        <v/>
      </c>
      <c r="R1254" t="str">
        <f>""</f>
        <v/>
      </c>
      <c r="S1254" t="str">
        <f>""</f>
        <v/>
      </c>
      <c r="T1254" t="str">
        <f>"https://portaletrasparenza.consorziobacchiglione.it/dettagli/attodigara/248/accettazione-preventivo-per-nuovo-allacciamento-paratoia-morandi-in-via-timavo-processo-id-006-03.html"</f>
        <v>https://portaletrasparenza.consorziobacchiglione.it/dettagli/attodigara/248/accettazione-preventivo-per-nuovo-allacciamento-paratoia-morandi-in-via-timavo-processo-id-006-03.html</v>
      </c>
      <c r="U1254" t="str">
        <f>""</f>
        <v/>
      </c>
      <c r="V12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55" spans="1:22" x14ac:dyDescent="0.3">
      <c r="A1255" t="str">
        <f>"Affidamento"</f>
        <v>Affidamento</v>
      </c>
      <c r="B1255" t="str">
        <f>"Fornitura materiale edile o di ferramenta per bacino Sesta Presa."</f>
        <v>Fornitura materiale edile o di ferramenta per bacino Sesta Presa.</v>
      </c>
      <c r="C1255" t="str">
        <f>"Z9E1914619"</f>
        <v>Z9E1914619</v>
      </c>
      <c r="D1255" t="str">
        <f>"04/11/2021"</f>
        <v>04/11/2021</v>
      </c>
      <c r="E1255" t="str">
        <f>""</f>
        <v/>
      </c>
      <c r="F1255" t="str">
        <f>""</f>
        <v/>
      </c>
      <c r="G1255" t="str">
        <f>"221.50"</f>
        <v>221.50</v>
      </c>
      <c r="H1255" t="str">
        <f>"Consorzio di bonifica Bacchiglione"</f>
        <v>Consorzio di bonifica Bacchiglione</v>
      </c>
      <c r="I1255" t="str">
        <f>"92223390284"</f>
        <v>92223390284</v>
      </c>
      <c r="J1255" t="str">
        <f>"23-AFFIDAMENTO DIRETTO"</f>
        <v>23-AFFIDAMENTO DIRETTO</v>
      </c>
      <c r="K1255" t="str">
        <f>"21/03/2021"</f>
        <v>21/03/2021</v>
      </c>
      <c r="L1255" t="str">
        <f>"19/04/2021"</f>
        <v>19/04/2021</v>
      </c>
      <c r="M1255" t="str">
        <f>""</f>
        <v/>
      </c>
      <c r="N1255" t="str">
        <f>"Gollo Giovanni Via Vallona 65 35020 Conche di Codevigo PD"</f>
        <v>Gollo Giovanni Via Vallona 65 35020 Conche di Codevigo PD</v>
      </c>
      <c r="O1255" t="str">
        <f>"Gollo Giovanni Via Vallona 65 35020 Conche di Codevigo PD"</f>
        <v>Gollo Giovanni Via Vallona 65 35020 Conche di Codevigo PD</v>
      </c>
      <c r="P1255" t="str">
        <f>"Z9E1914619: [221.50€ ]"</f>
        <v>Z9E1914619: [221.50€ ]</v>
      </c>
      <c r="Q1255" t="str">
        <f>""</f>
        <v/>
      </c>
      <c r="R1255" t="str">
        <f>""</f>
        <v/>
      </c>
      <c r="S1255" t="str">
        <f>""</f>
        <v/>
      </c>
      <c r="T1255" t="str">
        <f>"https://portaletrasparenza.consorziobacchiglione.it/dettagli/attodigara/251/fornitura-materiale-edile-o-di-ferramenta-per-bacino-sesta-presa.html"</f>
        <v>https://portaletrasparenza.consorziobacchiglione.it/dettagli/attodigara/251/fornitura-materiale-edile-o-di-ferramenta-per-bacino-sesta-presa.html</v>
      </c>
      <c r="U1255" t="str">
        <f>""</f>
        <v/>
      </c>
      <c r="V12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56" spans="1:22" x14ac:dyDescent="0.3">
      <c r="A1256" t="str">
        <f>"Affidamento"</f>
        <v>Affidamento</v>
      </c>
      <c r="B1256" t="str">
        <f>"Fornitura n 4 tubi circolari diametro 60 per scolo Bottesina."</f>
        <v>Fornitura n 4 tubi circolari diametro 60 per scolo Bottesina.</v>
      </c>
      <c r="C1256" t="str">
        <f>"Z261914426"</f>
        <v>Z261914426</v>
      </c>
      <c r="D1256" t="str">
        <f>"04/11/2021"</f>
        <v>04/11/2021</v>
      </c>
      <c r="E1256" t="str">
        <f>""</f>
        <v/>
      </c>
      <c r="F1256" t="str">
        <f>""</f>
        <v/>
      </c>
      <c r="G1256" t="str">
        <f>"116.00"</f>
        <v>116.00</v>
      </c>
      <c r="H1256" t="str">
        <f>"Consorzio di bonifica Bacchiglione"</f>
        <v>Consorzio di bonifica Bacchiglione</v>
      </c>
      <c r="I1256" t="str">
        <f>"92223390284"</f>
        <v>92223390284</v>
      </c>
      <c r="J1256" t="str">
        <f>"23-AFFIDAMENTO DIRETTO"</f>
        <v>23-AFFIDAMENTO DIRETTO</v>
      </c>
      <c r="K1256" t="str">
        <f>"21/03/2021"</f>
        <v>21/03/2021</v>
      </c>
      <c r="L1256" t="str">
        <f>"26/05/2021"</f>
        <v>26/05/2021</v>
      </c>
      <c r="M1256" t="str">
        <f>""</f>
        <v/>
      </c>
      <c r="N1256" t="str">
        <f>"Manufatti Bedin Via delle Industrie 12 35020 Albignasego PD"</f>
        <v>Manufatti Bedin Via delle Industrie 12 35020 Albignasego PD</v>
      </c>
      <c r="O1256" t="str">
        <f>"Manufatti Bedin Via delle Industrie 12 35020 Albignasego PD"</f>
        <v>Manufatti Bedin Via delle Industrie 12 35020 Albignasego PD</v>
      </c>
      <c r="P1256" t="str">
        <f>"Z261914426: [116.00€ ]"</f>
        <v>Z261914426: [116.00€ ]</v>
      </c>
      <c r="Q1256" t="str">
        <f>""</f>
        <v/>
      </c>
      <c r="R1256" t="str">
        <f>""</f>
        <v/>
      </c>
      <c r="S1256" t="str">
        <f>""</f>
        <v/>
      </c>
      <c r="T1256" t="str">
        <f>"https://portaletrasparenza.consorziobacchiglione.it/dettagli/attodigara/250/fornitura-n-4-tubi-circolari-diametro-60-per-scolo-bottesina.html"</f>
        <v>https://portaletrasparenza.consorziobacchiglione.it/dettagli/attodigara/250/fornitura-n-4-tubi-circolari-diametro-60-per-scolo-bottesina.html</v>
      </c>
      <c r="U1256" t="str">
        <f>""</f>
        <v/>
      </c>
      <c r="V125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57" spans="1:22" x14ac:dyDescent="0.3">
      <c r="A1257" t="str">
        <f>"Affidamento"</f>
        <v>Affidamento</v>
      </c>
      <c r="B1257" t="str">
        <f>"Riparazione elettropompa n 2 dell'Idrovora Brondolo."</f>
        <v>Riparazione elettropompa n 2 dell'Idrovora Brondolo.</v>
      </c>
      <c r="C1257" t="str">
        <f>"Z5C1914209"</f>
        <v>Z5C1914209</v>
      </c>
      <c r="D1257" t="str">
        <f>"04/11/2021"</f>
        <v>04/11/2021</v>
      </c>
      <c r="E1257" t="str">
        <f>""</f>
        <v/>
      </c>
      <c r="F1257" t="str">
        <f>""</f>
        <v/>
      </c>
      <c r="G1257" t="str">
        <f>"518.00"</f>
        <v>518.00</v>
      </c>
      <c r="H1257" t="str">
        <f>"Consorzio di bonifica Bacchiglione"</f>
        <v>Consorzio di bonifica Bacchiglione</v>
      </c>
      <c r="I1257" t="str">
        <f>"92223390284"</f>
        <v>92223390284</v>
      </c>
      <c r="J1257" t="str">
        <f>"23-AFFIDAMENTO DIRETTO"</f>
        <v>23-AFFIDAMENTO DIRETTO</v>
      </c>
      <c r="K1257" t="str">
        <f>"21/03/2021"</f>
        <v>21/03/2021</v>
      </c>
      <c r="L1257" t="str">
        <f>"18/05/2021"</f>
        <v>18/05/2021</v>
      </c>
      <c r="M1257" t="str">
        <f>""</f>
        <v/>
      </c>
      <c r="N1257" t="str">
        <f>"Xylem Water Solutions Italia S.r.l. Via Gioacchino Rossini 1A 20020 Lainate MI"</f>
        <v>Xylem Water Solutions Italia S.r.l. Via Gioacchino Rossini 1A 20020 Lainate MI</v>
      </c>
      <c r="O1257" t="str">
        <f>"Xylem Water Solutions Italia S.r.l. Via Gioacchino Rossini 1A 20020 Lainate MI"</f>
        <v>Xylem Water Solutions Italia S.r.l. Via Gioacchino Rossini 1A 20020 Lainate MI</v>
      </c>
      <c r="P1257" t="str">
        <f>"Z5C1914209: [518.00€ ]"</f>
        <v>Z5C1914209: [518.00€ ]</v>
      </c>
      <c r="Q1257" t="str">
        <f>""</f>
        <v/>
      </c>
      <c r="R1257" t="str">
        <f>""</f>
        <v/>
      </c>
      <c r="S1257" t="str">
        <f>""</f>
        <v/>
      </c>
      <c r="T1257" t="str">
        <f>"https://portaletrasparenza.consorziobacchiglione.it/dettagli/attodigara/249/riparazione-elettropompa-n-2-dell-idrovora-brondolo.html"</f>
        <v>https://portaletrasparenza.consorziobacchiglione.it/dettagli/attodigara/249/riparazione-elettropompa-n-2-dell-idrovora-brondolo.html</v>
      </c>
      <c r="U1257" t="str">
        <f>""</f>
        <v/>
      </c>
      <c r="V125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58" spans="1:22" x14ac:dyDescent="0.3">
      <c r="A1258" t="str">
        <f>"Affidamento"</f>
        <v>Affidamento</v>
      </c>
      <c r="B1258" t="str">
        <f>"Fornitura e posa parapetti metallici 2^ Stazione di Sollevamento e pozzi vari oltre al grigliato presso il pozzo 1^ Stazione. - Processo ID 006-03."</f>
        <v>Fornitura e posa parapetti metallici 2^ Stazione di Sollevamento e pozzi vari oltre al grigliato presso il pozzo 1^ Stazione. - Processo ID 006-03.</v>
      </c>
      <c r="C1258" t="str">
        <f>"Z5119115E4"</f>
        <v>Z5119115E4</v>
      </c>
      <c r="D1258" t="str">
        <f>"04/11/2021"</f>
        <v>04/11/2021</v>
      </c>
      <c r="E1258" t="str">
        <f>""</f>
        <v/>
      </c>
      <c r="F1258" t="str">
        <f>""</f>
        <v/>
      </c>
      <c r="G1258" t="str">
        <f>"26104.50"</f>
        <v>26104.50</v>
      </c>
      <c r="H1258" t="str">
        <f>"Consorzio di bonifica Bacchiglione"</f>
        <v>Consorzio di bonifica Bacchiglione</v>
      </c>
      <c r="I1258" t="str">
        <f>"92223390284"</f>
        <v>92223390284</v>
      </c>
      <c r="J1258" t="str">
        <f>"23-AFFIDAMENTO DIRETTO"</f>
        <v>23-AFFIDAMENTO DIRETTO</v>
      </c>
      <c r="K1258" t="str">
        <f>"21/03/2021"</f>
        <v>21/03/2021</v>
      </c>
      <c r="L1258" t="str">
        <f>"21/06/2021"</f>
        <v>21/06/2021</v>
      </c>
      <c r="M1258" t="str">
        <f>""</f>
        <v/>
      </c>
      <c r="N1258" t="str">
        <f>"GPG S.r.l. | Fer Tre Srl | Marin Siro"</f>
        <v>GPG S.r.l. | Fer Tre Srl | Marin Siro</v>
      </c>
      <c r="O1258" t="str">
        <f>"Fer Tre Srl"</f>
        <v>Fer Tre Srl</v>
      </c>
      <c r="P1258" t="str">
        <f>"Z5119115E4: [26104.50€ ]"</f>
        <v>Z5119115E4: [26104.50€ ]</v>
      </c>
      <c r="Q1258" t="str">
        <f>""</f>
        <v/>
      </c>
      <c r="R1258" t="str">
        <f>""</f>
        <v/>
      </c>
      <c r="S1258" t="str">
        <f>""</f>
        <v/>
      </c>
      <c r="T1258" t="str">
        <f>"https://portaletrasparenza.consorziobacchiglione.it/dettagli/attodigara/246/fornitura-e-posa-parapetti-metallici-2-stazione-di-sollevamento-e-pozzi-vari-oltre-al-grigliato-presso-il-pozzo-1-stazione-processo-id-006-03.html"</f>
        <v>https://portaletrasparenza.consorziobacchiglione.it/dettagli/attodigara/246/fornitura-e-posa-parapetti-metallici-2-stazione-di-sollevamento-e-pozzi-vari-oltre-al-grigliato-presso-il-pozzo-1-stazione-processo-id-006-03.html</v>
      </c>
      <c r="U1258" t="str">
        <f>""</f>
        <v/>
      </c>
      <c r="V12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59" spans="1:22" x14ac:dyDescent="0.3">
      <c r="A1259" t="str">
        <f>"Affidamento"</f>
        <v>Affidamento</v>
      </c>
      <c r="B1259" t="str">
        <f>"Servizi di verifica catastale, aggiornamento del particellare e picchettamento relativamente alle opere complemenatri lotto 3, dorsale lungomare. - Processo ID 001-10."</f>
        <v>Servizi di verifica catastale, aggiornamento del particellare e picchettamento relativamente alle opere complemenatri lotto 3, dorsale lungomare. - Processo ID 001-10.</v>
      </c>
      <c r="C1259" t="str">
        <f>"ZF61911F11"</f>
        <v>ZF61911F11</v>
      </c>
      <c r="D1259" t="str">
        <f>"04/11/2021"</f>
        <v>04/11/2021</v>
      </c>
      <c r="E1259" t="str">
        <f>""</f>
        <v/>
      </c>
      <c r="F1259" t="str">
        <f>""</f>
        <v/>
      </c>
      <c r="G1259" t="str">
        <f>"2310.00"</f>
        <v>2310.00</v>
      </c>
      <c r="H1259" t="str">
        <f>"Consorzio di bonifica Bacchiglione"</f>
        <v>Consorzio di bonifica Bacchiglione</v>
      </c>
      <c r="I1259" t="str">
        <f>"92223390284"</f>
        <v>92223390284</v>
      </c>
      <c r="J1259" t="str">
        <f>"23-AFFIDAMENTO DIRETTO"</f>
        <v>23-AFFIDAMENTO DIRETTO</v>
      </c>
      <c r="K1259" t="str">
        <f>"21/03/2021"</f>
        <v>21/03/2021</v>
      </c>
      <c r="L1259" t="str">
        <f>"09/06/2021"</f>
        <v>09/06/2021</v>
      </c>
      <c r="M1259" t="str">
        <f>""</f>
        <v/>
      </c>
      <c r="N1259" t="str">
        <f>"Delta Studio S.r.l."</f>
        <v>Delta Studio S.r.l.</v>
      </c>
      <c r="O1259" t="str">
        <f>"Delta Studio S.r.l."</f>
        <v>Delta Studio S.r.l.</v>
      </c>
      <c r="P1259" t="str">
        <f>"ZF61911F11: [2079.00€ ]"</f>
        <v>ZF61911F11: [2079.00€ ]</v>
      </c>
      <c r="Q1259" t="str">
        <f>""</f>
        <v/>
      </c>
      <c r="R1259" t="str">
        <f>""</f>
        <v/>
      </c>
      <c r="S1259" t="str">
        <f>""</f>
        <v/>
      </c>
      <c r="T1259" t="str">
        <f>"https://portaletrasparenza.consorziobacchiglione.it/dettagli/attodigara/247/servizi-di-verifica-catastale-aggiornamento-del-particellare-e-picchettamento-relativamente-alle-opere-complemenatri-lotto-3-dorsale-lungomare-processo-id-001-10.html"</f>
        <v>https://portaletrasparenza.consorziobacchiglione.it/dettagli/attodigara/247/servizi-di-verifica-catastale-aggiornamento-del-particellare-e-picchettamento-relativamente-alle-opere-complemenatri-lotto-3-dorsale-lungomare-processo-id-001-10.html</v>
      </c>
      <c r="U1259" t="str">
        <f>""</f>
        <v/>
      </c>
      <c r="V1259">
        <f>(SUBSTITUTE(Tabella1[[#This Row],[Importo di aggiudicazione]],".",","))-(SUBSTITUTE(  SUBSTITUTE(          SUBSTITUTE(Tabella1[[#This Row],[Dettaglio somme liquidate]],Tabella1[[#This Row],[CIG]]&amp;": [",""),"€ ]",""),".",","))</f>
        <v>231</v>
      </c>
    </row>
    <row r="1260" spans="1:22" x14ac:dyDescent="0.3">
      <c r="A1260" t="str">
        <f>"Affidamento"</f>
        <v>Affidamento</v>
      </c>
      <c r="B1260" t="str">
        <f>"Fornitura frantoiato per lavori scolo Pavariane Est e Botte di Conche."</f>
        <v>Fornitura frantoiato per lavori scolo Pavariane Est e Botte di Conche.</v>
      </c>
      <c r="C1260" t="str">
        <f>"Z32198CD06"</f>
        <v>Z32198CD06</v>
      </c>
      <c r="D1260" t="str">
        <f>"04/11/2021"</f>
        <v>04/11/2021</v>
      </c>
      <c r="E1260" t="str">
        <f>""</f>
        <v/>
      </c>
      <c r="F1260" t="str">
        <f>""</f>
        <v/>
      </c>
      <c r="G1260" t="str">
        <f>"108.00"</f>
        <v>108.00</v>
      </c>
      <c r="H1260" t="str">
        <f>"Consorzio di bonifica Bacchiglione"</f>
        <v>Consorzio di bonifica Bacchiglione</v>
      </c>
      <c r="I1260" t="str">
        <f>"92223390284"</f>
        <v>92223390284</v>
      </c>
      <c r="J1260" t="str">
        <f>"23-AFFIDAMENTO DIRETTO"</f>
        <v>23-AFFIDAMENTO DIRETTO</v>
      </c>
      <c r="K1260" t="str">
        <f>"21/04/2021"</f>
        <v>21/04/2021</v>
      </c>
      <c r="L1260" t="str">
        <f>"24/10/2021"</f>
        <v>24/10/2021</v>
      </c>
      <c r="M1260" t="str">
        <f>""</f>
        <v/>
      </c>
      <c r="N1260" t="str">
        <f>"Zagolin Giovanni s.r.l. Via Gelsi 56 35028 Piove di Sacco PD"</f>
        <v>Zagolin Giovanni s.r.l. Via Gelsi 56 35028 Piove di Sacco PD</v>
      </c>
      <c r="O1260" t="str">
        <f>"Zagolin Giovanni s.r.l. Via Gelsi 56 35028 Piove di Sacco PD"</f>
        <v>Zagolin Giovanni s.r.l. Via Gelsi 56 35028 Piove di Sacco PD</v>
      </c>
      <c r="P1260" t="str">
        <f>"Z32198CD06: [108.00€ ]"</f>
        <v>Z32198CD06: [108.00€ ]</v>
      </c>
      <c r="Q1260" t="str">
        <f>""</f>
        <v/>
      </c>
      <c r="R1260" t="str">
        <f>""</f>
        <v/>
      </c>
      <c r="S1260" t="str">
        <f>""</f>
        <v/>
      </c>
      <c r="T1260" t="str">
        <f>"https://portaletrasparenza.consorziobacchiglione.it/dettagli/attodigara/350/fornitura-frantoiato-per-lavori-scolo-pavariane-est-e-botte-di-conche.html"</f>
        <v>https://portaletrasparenza.consorziobacchiglione.it/dettagli/attodigara/350/fornitura-frantoiato-per-lavori-scolo-pavariane-est-e-botte-di-conche.html</v>
      </c>
      <c r="U1260" t="str">
        <f>""</f>
        <v/>
      </c>
      <c r="V12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61" spans="1:22" x14ac:dyDescent="0.3">
      <c r="A1261" t="str">
        <f>"Affidamento"</f>
        <v>Affidamento</v>
      </c>
      <c r="B1261" t="str">
        <f>"Fornitura sensori di livello e tramettitori di processo per sgrigliatore impianto irriguo Olmo."</f>
        <v>Fornitura sensori di livello e tramettitori di processo per sgrigliatore impianto irriguo Olmo.</v>
      </c>
      <c r="C1261" t="str">
        <f>"ZAB198D134"</f>
        <v>ZAB198D134</v>
      </c>
      <c r="D1261" t="str">
        <f>"04/11/2021"</f>
        <v>04/11/2021</v>
      </c>
      <c r="E1261" t="str">
        <f>""</f>
        <v/>
      </c>
      <c r="F1261" t="str">
        <f>""</f>
        <v/>
      </c>
      <c r="G1261" t="str">
        <f>"3046.39"</f>
        <v>3046.39</v>
      </c>
      <c r="H1261" t="str">
        <f>"Consorzio di bonifica Bacchiglione"</f>
        <v>Consorzio di bonifica Bacchiglione</v>
      </c>
      <c r="I1261" t="str">
        <f>"92223390284"</f>
        <v>92223390284</v>
      </c>
      <c r="J1261" t="str">
        <f>"23-AFFIDAMENTO DIRETTO"</f>
        <v>23-AFFIDAMENTO DIRETTO</v>
      </c>
      <c r="K1261" t="str">
        <f>"21/04/2021"</f>
        <v>21/04/2021</v>
      </c>
      <c r="L1261" t="str">
        <f>"15/06/2021"</f>
        <v>15/06/2021</v>
      </c>
      <c r="M1261" t="str">
        <f>""</f>
        <v/>
      </c>
      <c r="N1261" t="str">
        <f>"Endress + Hauser Italia S.p.A. Via Fratelli di Dio 7 20063 Cernusco S-N MI"</f>
        <v>Endress + Hauser Italia S.p.A. Via Fratelli di Dio 7 20063 Cernusco S-N MI</v>
      </c>
      <c r="O1261" t="str">
        <f>"Endress + Hauser Italia S.p.A. Via Fratelli di Dio 7 20063 Cernusco S-N MI"</f>
        <v>Endress + Hauser Italia S.p.A. Via Fratelli di Dio 7 20063 Cernusco S-N MI</v>
      </c>
      <c r="P1261" t="str">
        <f>"ZAB198D134: [3046.38€ ]"</f>
        <v>ZAB198D134: [3046.38€ ]</v>
      </c>
      <c r="Q1261" t="str">
        <f>""</f>
        <v/>
      </c>
      <c r="R1261" t="str">
        <f>""</f>
        <v/>
      </c>
      <c r="S1261" t="str">
        <f>""</f>
        <v/>
      </c>
      <c r="T1261" t="str">
        <f>"https://portaletrasparenza.consorziobacchiglione.it/dettagli/attodigara/351/fornitura-sensori-di-livello-e-tramettitori-di-processo-per-sgrigliatore-impianto-irriguo-olmo.html"</f>
        <v>https://portaletrasparenza.consorziobacchiglione.it/dettagli/attodigara/351/fornitura-sensori-di-livello-e-tramettitori-di-processo-per-sgrigliatore-impianto-irriguo-olmo.html</v>
      </c>
      <c r="U1261" t="str">
        <f>""</f>
        <v/>
      </c>
      <c r="V1261">
        <f>(SUBSTITUTE(Tabella1[[#This Row],[Importo di aggiudicazione]],".",","))-(SUBSTITUTE(  SUBSTITUTE(          SUBSTITUTE(Tabella1[[#This Row],[Dettaglio somme liquidate]],Tabella1[[#This Row],[CIG]]&amp;": [",""),"€ ]",""),".",","))</f>
        <v>9.9999999997635314E-3</v>
      </c>
    </row>
    <row r="1262" spans="1:22" x14ac:dyDescent="0.3">
      <c r="A1262" t="str">
        <f>"Affidamento"</f>
        <v>Affidamento</v>
      </c>
      <c r="B1262" t="str">
        <f>"Fornitura MC 4,00 di calcestruzzo RCK 300 S4 per lavori presso Scolo Superiore di Casalserugo"</f>
        <v>Fornitura MC 4,00 di calcestruzzo RCK 300 S4 per lavori presso Scolo Superiore di Casalserugo</v>
      </c>
      <c r="C1262" t="str">
        <f>"Z1E317111F"</f>
        <v>Z1E317111F</v>
      </c>
      <c r="D1262" t="str">
        <f>"21/04/2021"</f>
        <v>21/04/2021</v>
      </c>
      <c r="E1262" t="str">
        <f>""</f>
        <v/>
      </c>
      <c r="F1262" t="str">
        <f>""</f>
        <v/>
      </c>
      <c r="G1262" t="str">
        <f>"304.00"</f>
        <v>304.00</v>
      </c>
      <c r="H1262" t="str">
        <f>"Consorzio di bonifica Bacchiglione"</f>
        <v>Consorzio di bonifica Bacchiglione</v>
      </c>
      <c r="I1262" t="str">
        <f>"92223390284"</f>
        <v>92223390284</v>
      </c>
      <c r="J1262" t="str">
        <f>"23-AFFIDAMENTO DIRETTO"</f>
        <v>23-AFFIDAMENTO DIRETTO</v>
      </c>
      <c r="K1262" t="str">
        <f>"21/04/2021"</f>
        <v>21/04/2021</v>
      </c>
      <c r="L1262" t="str">
        <f>"21/04/2021"</f>
        <v>21/04/2021</v>
      </c>
      <c r="M1262" t="str">
        <f>""</f>
        <v/>
      </c>
      <c r="N1262" t="str">
        <f>"Zagolin Giovanni s.r.l. Via Gelsi 56 35028 Piove di Sacco PD"</f>
        <v>Zagolin Giovanni s.r.l. Via Gelsi 56 35028 Piove di Sacco PD</v>
      </c>
      <c r="O1262" t="str">
        <f>"Zagolin Giovanni s.r.l. Via Gelsi 56 35028 Piove di Sacco PD"</f>
        <v>Zagolin Giovanni s.r.l. Via Gelsi 56 35028 Piove di Sacco PD</v>
      </c>
      <c r="P1262" t="str">
        <f>"Z1E317111F: [0.00€ ]"</f>
        <v>Z1E317111F: [0.00€ ]</v>
      </c>
      <c r="Q1262" t="str">
        <f>""</f>
        <v/>
      </c>
      <c r="R1262" t="str">
        <f>""</f>
        <v/>
      </c>
      <c r="S1262" t="str">
        <f>""</f>
        <v/>
      </c>
      <c r="T1262" t="str">
        <f>"https://portaletrasparenza.consorziobacchiglione.it/dettagli/attodigara/6819/fornitura-mc-4-00-di-calcestruzzo-rck-300-s4-per-lavori-presso-scolo-superiore-di-casalserugo.html"</f>
        <v>https://portaletrasparenza.consorziobacchiglione.it/dettagli/attodigara/6819/fornitura-mc-4-00-di-calcestruzzo-rck-300-s4-per-lavori-presso-scolo-superiore-di-casalserugo.html</v>
      </c>
      <c r="U1262" t="str">
        <f>"https://portaletrasparenza.consorziobacchiglione.it/download/attodigara/6819/62a209e2ce1e6.PDF"</f>
        <v>https://portaletrasparenza.consorziobacchiglione.it/download/attodigara/6819/62a209e2ce1e6.PDF</v>
      </c>
      <c r="V1262">
        <f>(SUBSTITUTE(Tabella1[[#This Row],[Importo di aggiudicazione]],".",","))-(SUBSTITUTE(  SUBSTITUTE(          SUBSTITUTE(Tabella1[[#This Row],[Dettaglio somme liquidate]],Tabella1[[#This Row],[CIG]]&amp;": [",""),"€ ]",""),".",","))</f>
        <v>304</v>
      </c>
    </row>
    <row r="1263" spans="1:22" x14ac:dyDescent="0.3">
      <c r="A1263" t="str">
        <f>"Affidamento"</f>
        <v>Affidamento</v>
      </c>
      <c r="B1263" t="str">
        <f>"Trasporto escavatore a noleggio da scolo Cornio di Celeseo a scolo Cornio Nuovo"</f>
        <v>Trasporto escavatore a noleggio da scolo Cornio di Celeseo a scolo Cornio Nuovo</v>
      </c>
      <c r="C1263" t="str">
        <f>"Z703171498"</f>
        <v>Z703171498</v>
      </c>
      <c r="D1263" t="str">
        <f>"22/04/2021"</f>
        <v>22/04/2021</v>
      </c>
      <c r="E1263" t="str">
        <f>""</f>
        <v/>
      </c>
      <c r="F1263" t="str">
        <f>""</f>
        <v/>
      </c>
      <c r="G1263" t="str">
        <f>"150.00"</f>
        <v>150.00</v>
      </c>
      <c r="H1263" t="str">
        <f>"Consorzio di bonifica Bacchiglione"</f>
        <v>Consorzio di bonifica Bacchiglione</v>
      </c>
      <c r="I1263" t="str">
        <f>"92223390284"</f>
        <v>92223390284</v>
      </c>
      <c r="J1263" t="str">
        <f>"23-AFFIDAMENTO DIRETTO"</f>
        <v>23-AFFIDAMENTO DIRETTO</v>
      </c>
      <c r="K1263" t="str">
        <f>"21/04/2021"</f>
        <v>21/04/2021</v>
      </c>
      <c r="L1263" t="str">
        <f>"29/04/2021"</f>
        <v>29/04/2021</v>
      </c>
      <c r="M1263" t="str">
        <f>""</f>
        <v/>
      </c>
      <c r="N1263" t="str">
        <f>"Trovò s.r.l. Via Idrovora, 3 - 35020 Codevigo (PD)"</f>
        <v>Trovò s.r.l. Via Idrovora, 3 - 35020 Codevigo (PD)</v>
      </c>
      <c r="O1263" t="str">
        <f>"Trovò s.r.l. Via Idrovora, 3 - 35020 Codevigo (PD)"</f>
        <v>Trovò s.r.l. Via Idrovora, 3 - 35020 Codevigo (PD)</v>
      </c>
      <c r="P1263" t="str">
        <f>"Z703171498: [150.00€ ]"</f>
        <v>Z703171498: [150.00€ ]</v>
      </c>
      <c r="Q1263" t="str">
        <f>""</f>
        <v/>
      </c>
      <c r="R1263" t="str">
        <f>""</f>
        <v/>
      </c>
      <c r="S1263" t="str">
        <f>""</f>
        <v/>
      </c>
      <c r="T1263" t="str">
        <f>"https://portaletrasparenza.consorziobacchiglione.it/dettagli/attodigara/6820/trasporto-escavatore-a-noleggio-da-scolo-cornio-di-celeseo-a-scolo-cornio-nuovo.html"</f>
        <v>https://portaletrasparenza.consorziobacchiglione.it/dettagli/attodigara/6820/trasporto-escavatore-a-noleggio-da-scolo-cornio-di-celeseo-a-scolo-cornio-nuovo.html</v>
      </c>
      <c r="U1263" t="str">
        <f>"https://portaletrasparenza.consorziobacchiglione.it/download/attodigara/6820/63ac4582044b5.PDF"</f>
        <v>https://portaletrasparenza.consorziobacchiglione.it/download/attodigara/6820/63ac4582044b5.PDF</v>
      </c>
      <c r="V12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64" spans="1:22" x14ac:dyDescent="0.3">
      <c r="A1264" t="str">
        <f>"Affidamento"</f>
        <v>Affidamento</v>
      </c>
      <c r="B1264" t="str">
        <f>"Fornitura ricambi vari per mezzi consortili"</f>
        <v>Fornitura ricambi vari per mezzi consortili</v>
      </c>
      <c r="C1264" t="str">
        <f>"ZA131D4B60"</f>
        <v>ZA131D4B60</v>
      </c>
      <c r="D1264" t="str">
        <f>"21/05/2021"</f>
        <v>21/05/2021</v>
      </c>
      <c r="E1264" t="str">
        <f>""</f>
        <v/>
      </c>
      <c r="F1264" t="str">
        <f>""</f>
        <v/>
      </c>
      <c r="G1264" t="str">
        <f>"34.50"</f>
        <v>34.50</v>
      </c>
      <c r="H1264" t="str">
        <f>"Consorzio di bonifica Bacchiglione"</f>
        <v>Consorzio di bonifica Bacchiglione</v>
      </c>
      <c r="I1264" t="str">
        <f>"92223390284"</f>
        <v>92223390284</v>
      </c>
      <c r="J1264" t="str">
        <f>"23-AFFIDAMENTO DIRETTO"</f>
        <v>23-AFFIDAMENTO DIRETTO</v>
      </c>
      <c r="K1264" t="str">
        <f>"21/05/2021"</f>
        <v>21/05/2021</v>
      </c>
      <c r="L1264" t="str">
        <f>"07/06/2021"</f>
        <v>07/06/2021</v>
      </c>
      <c r="M1264" t="str">
        <f>""</f>
        <v/>
      </c>
      <c r="N1264" t="str">
        <f>"Autoricambi s.n.c. di Mardegan Paolo e Manfron Veronica Via A.Valerio 26-28 Piove di Sacco PD"</f>
        <v>Autoricambi s.n.c. di Mardegan Paolo e Manfron Veronica Via A.Valerio 26-28 Piove di Sacco PD</v>
      </c>
      <c r="O1264" t="str">
        <f>"Autoricambi s.n.c. di Mardegan Paolo e Manfron Veronica Via A.Valerio 26-28 Piove di Sacco PD"</f>
        <v>Autoricambi s.n.c. di Mardegan Paolo e Manfron Veronica Via A.Valerio 26-28 Piove di Sacco PD</v>
      </c>
      <c r="P1264" t="str">
        <f>"ZA131D4B60: [34.50€ ]"</f>
        <v>ZA131D4B60: [34.50€ ]</v>
      </c>
      <c r="Q1264" t="str">
        <f>""</f>
        <v/>
      </c>
      <c r="R1264" t="str">
        <f>""</f>
        <v/>
      </c>
      <c r="S1264" t="str">
        <f>""</f>
        <v/>
      </c>
      <c r="T1264" t="str">
        <f>"https://portaletrasparenza.consorziobacchiglione.it/dettagli/attodigara/6896/fornitura-ricambi-vari-per-mezzi-consortili.html"</f>
        <v>https://portaletrasparenza.consorziobacchiglione.it/dettagli/attodigara/6896/fornitura-ricambi-vari-per-mezzi-consortili.html</v>
      </c>
      <c r="U1264" t="str">
        <f>"https://portaletrasparenza.consorziobacchiglione.it/download/attodigara/6896/63ac458f85572.PDF"</f>
        <v>https://portaletrasparenza.consorziobacchiglione.it/download/attodigara/6896/63ac458f85572.PDF</v>
      </c>
      <c r="V12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65" spans="1:22" x14ac:dyDescent="0.3">
      <c r="A1265" t="str">
        <f>"Affidamento"</f>
        <v>Affidamento</v>
      </c>
      <c r="B1265" t="str">
        <f>"Sostituzione pannello laterale del mezzo targato: FF936PM"</f>
        <v>Sostituzione pannello laterale del mezzo targato: FF936PM</v>
      </c>
      <c r="C1265" t="str">
        <f>"ZD331D4A25"</f>
        <v>ZD331D4A25</v>
      </c>
      <c r="D1265" t="str">
        <f>"21/05/2021"</f>
        <v>21/05/2021</v>
      </c>
      <c r="E1265" t="str">
        <f>""</f>
        <v/>
      </c>
      <c r="F1265" t="str">
        <f>""</f>
        <v/>
      </c>
      <c r="G1265" t="str">
        <f>"1000.00"</f>
        <v>1000.00</v>
      </c>
      <c r="H1265" t="str">
        <f>"Consorzio di bonifica Bacchiglione"</f>
        <v>Consorzio di bonifica Bacchiglione</v>
      </c>
      <c r="I1265" t="str">
        <f>"92223390284"</f>
        <v>92223390284</v>
      </c>
      <c r="J1265" t="str">
        <f>"23-AFFIDAMENTO DIRETTO"</f>
        <v>23-AFFIDAMENTO DIRETTO</v>
      </c>
      <c r="K1265" t="str">
        <f>"21/05/2021"</f>
        <v>21/05/2021</v>
      </c>
      <c r="L1265" t="str">
        <f>"21/05/2021"</f>
        <v>21/05/2021</v>
      </c>
      <c r="M1265" t="str">
        <f>""</f>
        <v/>
      </c>
      <c r="N1265" t="str">
        <f>"Carrozzeria Tramarin Snc Via Argine Sinistro 38 - Bis"</f>
        <v>Carrozzeria Tramarin Snc Via Argine Sinistro 38 - Bis</v>
      </c>
      <c r="O1265" t="str">
        <f>"Carrozzeria Tramarin Snc Via Argine Sinistro 38 - Bis"</f>
        <v>Carrozzeria Tramarin Snc Via Argine Sinistro 38 - Bis</v>
      </c>
      <c r="P1265" t="str">
        <f>"ZD331D4A25: [1000.00€ ]"</f>
        <v>ZD331D4A25: [1000.00€ ]</v>
      </c>
      <c r="Q1265" t="str">
        <f>""</f>
        <v/>
      </c>
      <c r="R1265" t="str">
        <f>""</f>
        <v/>
      </c>
      <c r="S1265" t="str">
        <f>""</f>
        <v/>
      </c>
      <c r="T1265" t="str">
        <f>"https://portaletrasparenza.consorziobacchiglione.it/dettagli/attodigara/6895/sostituzione-pannello-laterale-del-mezzo-targato-ff936pm.html"</f>
        <v>https://portaletrasparenza.consorziobacchiglione.it/dettagli/attodigara/6895/sostituzione-pannello-laterale-del-mezzo-targato-ff936pm.html</v>
      </c>
      <c r="U1265" t="str">
        <f>"https://portaletrasparenza.consorziobacchiglione.it/download/attodigara/6895/63ac458f4cdc0.PDF"</f>
        <v>https://portaletrasparenza.consorziobacchiglione.it/download/attodigara/6895/63ac458f4cdc0.PDF</v>
      </c>
      <c r="V12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66" spans="1:22" x14ac:dyDescent="0.3">
      <c r="A1266" t="str">
        <f>"Affidamento"</f>
        <v>Affidamento</v>
      </c>
      <c r="B1266" t="str">
        <f>"Manutenzione e riparazione mezzo con targa: AHH573"</f>
        <v>Manutenzione e riparazione mezzo con targa: AHH573</v>
      </c>
      <c r="C1266" t="str">
        <f>"Z0431D474C"</f>
        <v>Z0431D474C</v>
      </c>
      <c r="D1266" t="str">
        <f>"21/05/2021"</f>
        <v>21/05/2021</v>
      </c>
      <c r="E1266" t="str">
        <f>""</f>
        <v/>
      </c>
      <c r="F1266" t="str">
        <f>""</f>
        <v/>
      </c>
      <c r="G1266" t="str">
        <f>"6914.89"</f>
        <v>6914.89</v>
      </c>
      <c r="H1266" t="str">
        <f>"Consorzio di bonifica Bacchiglione"</f>
        <v>Consorzio di bonifica Bacchiglione</v>
      </c>
      <c r="I1266" t="str">
        <f>"92223390284"</f>
        <v>92223390284</v>
      </c>
      <c r="J1266" t="str">
        <f>"23-AFFIDAMENTO DIRETTO"</f>
        <v>23-AFFIDAMENTO DIRETTO</v>
      </c>
      <c r="K1266" t="str">
        <f>"21/05/2021"</f>
        <v>21/05/2021</v>
      </c>
      <c r="L1266" t="str">
        <f>"15/06/2021"</f>
        <v>15/06/2021</v>
      </c>
      <c r="M1266" t="str">
        <f>""</f>
        <v/>
      </c>
      <c r="N1266" t="str">
        <f>"Negrisolo Officina Meccanica s.a.s. V.le delle Industrie II° strada 13 35025 Cagnola di Cartura PD"</f>
        <v>Negrisolo Officina Meccanica s.a.s. V.le delle Industrie II° strada 13 35025 Cagnola di Cartura PD</v>
      </c>
      <c r="O1266" t="str">
        <f>"Negrisolo Officina Meccanica s.a.s. V.le delle Industrie II° strada 13 35025 Cagnola di Cartura PD"</f>
        <v>Negrisolo Officina Meccanica s.a.s. V.le delle Industrie II° strada 13 35025 Cagnola di Cartura PD</v>
      </c>
      <c r="P1266" t="str">
        <f>"Z0431D474C: [6914.89€ ]"</f>
        <v>Z0431D474C: [6914.89€ ]</v>
      </c>
      <c r="Q1266" t="str">
        <f>""</f>
        <v/>
      </c>
      <c r="R1266" t="str">
        <f>""</f>
        <v/>
      </c>
      <c r="S1266" t="str">
        <f>""</f>
        <v/>
      </c>
      <c r="T1266" t="str">
        <f>"https://portaletrasparenza.consorziobacchiglione.it/dettagli/attodigara/6894/manutenzione-e-riparazione-mezzo-con-targa-ahh573.html"</f>
        <v>https://portaletrasparenza.consorziobacchiglione.it/dettagli/attodigara/6894/manutenzione-e-riparazione-mezzo-con-targa-ahh573.html</v>
      </c>
      <c r="U1266" t="str">
        <f>"https://portaletrasparenza.consorziobacchiglione.it/download/attodigara/6894/63ac458f145ea.PDF"</f>
        <v>https://portaletrasparenza.consorziobacchiglione.it/download/attodigara/6894/63ac458f145ea.PDF</v>
      </c>
      <c r="V126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67" spans="1:22" x14ac:dyDescent="0.3">
      <c r="A1267" t="str">
        <f>"Affidamento"</f>
        <v>Affidamento</v>
      </c>
      <c r="B1267" t="str">
        <f>"Fornitura ricambi per decespugliatori presso Bacino Sesta Presa"</f>
        <v>Fornitura ricambi per decespugliatori presso Bacino Sesta Presa</v>
      </c>
      <c r="C1267" t="str">
        <f>"ZF331D2E7E"</f>
        <v>ZF331D2E7E</v>
      </c>
      <c r="D1267" t="str">
        <f>"21/05/2021"</f>
        <v>21/05/2021</v>
      </c>
      <c r="E1267" t="str">
        <f>""</f>
        <v/>
      </c>
      <c r="F1267" t="str">
        <f>""</f>
        <v/>
      </c>
      <c r="G1267" t="str">
        <f>"516.39"</f>
        <v>516.39</v>
      </c>
      <c r="H1267" t="str">
        <f>"Consorzio di bonifica Bacchiglione"</f>
        <v>Consorzio di bonifica Bacchiglione</v>
      </c>
      <c r="I1267" t="str">
        <f>"92223390284"</f>
        <v>92223390284</v>
      </c>
      <c r="J1267" t="str">
        <f>"23-AFFIDAMENTO DIRETTO"</f>
        <v>23-AFFIDAMENTO DIRETTO</v>
      </c>
      <c r="K1267" t="str">
        <f>"21/05/2021"</f>
        <v>21/05/2021</v>
      </c>
      <c r="L1267" t="str">
        <f>"04/06/2021"</f>
        <v>04/06/2021</v>
      </c>
      <c r="M1267" t="str">
        <f>""</f>
        <v/>
      </c>
      <c r="N1267" t="str">
        <f>"Mini Motor di Vettorato Gabriele Via Puccini 3 35020 Brugine PD"</f>
        <v>Mini Motor di Vettorato Gabriele Via Puccini 3 35020 Brugine PD</v>
      </c>
      <c r="O1267" t="str">
        <f>"Mini Motor di Vettorato Gabriele Via Puccini 3 35020 Brugine PD"</f>
        <v>Mini Motor di Vettorato Gabriele Via Puccini 3 35020 Brugine PD</v>
      </c>
      <c r="P1267" t="str">
        <f>"ZF331D2E7E: [516.39€ ]"</f>
        <v>ZF331D2E7E: [516.39€ ]</v>
      </c>
      <c r="Q1267" t="str">
        <f>""</f>
        <v/>
      </c>
      <c r="R1267" t="str">
        <f>""</f>
        <v/>
      </c>
      <c r="S1267" t="str">
        <f>""</f>
        <v/>
      </c>
      <c r="T1267" t="str">
        <f>"https://portaletrasparenza.consorziobacchiglione.it/dettagli/attodigara/6893/fornitura-ricambi-per-decespugliatori-presso-bacino-sesta-presa.html"</f>
        <v>https://portaletrasparenza.consorziobacchiglione.it/dettagli/attodigara/6893/fornitura-ricambi-per-decespugliatori-presso-bacino-sesta-presa.html</v>
      </c>
      <c r="U1267" t="str">
        <f>"https://portaletrasparenza.consorziobacchiglione.it/download/attodigara/6893/63ac458ecfebe.PDF"</f>
        <v>https://portaletrasparenza.consorziobacchiglione.it/download/attodigara/6893/63ac458ecfebe.PDF</v>
      </c>
      <c r="V126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68" spans="1:22" x14ac:dyDescent="0.3">
      <c r="A1268" t="str">
        <f>"Affidamento"</f>
        <v>Affidamento</v>
      </c>
      <c r="B1268" t="str">
        <f>"Fornitura di pali \'fermarosta\' per Bacino Sesta Presa"</f>
        <v>Fornitura di pali \'fermarosta\' per Bacino Sesta Presa</v>
      </c>
      <c r="C1268" t="str">
        <f>"ZC331D2966"</f>
        <v>ZC331D2966</v>
      </c>
      <c r="D1268" t="str">
        <f>"21/05/2021"</f>
        <v>21/05/2021</v>
      </c>
      <c r="E1268" t="str">
        <f>""</f>
        <v/>
      </c>
      <c r="F1268" t="str">
        <f>""</f>
        <v/>
      </c>
      <c r="G1268" t="str">
        <f>"392.00"</f>
        <v>392.00</v>
      </c>
      <c r="H1268" t="str">
        <f>"Consorzio di bonifica Bacchiglione"</f>
        <v>Consorzio di bonifica Bacchiglione</v>
      </c>
      <c r="I1268" t="str">
        <f>"92223390284"</f>
        <v>92223390284</v>
      </c>
      <c r="J1268" t="str">
        <f>"23-AFFIDAMENTO DIRETTO"</f>
        <v>23-AFFIDAMENTO DIRETTO</v>
      </c>
      <c r="K1268" t="str">
        <f>"21/05/2021"</f>
        <v>21/05/2021</v>
      </c>
      <c r="L1268" t="str">
        <f>"30/06/2021"</f>
        <v>30/06/2021</v>
      </c>
      <c r="M1268" t="str">
        <f>""</f>
        <v/>
      </c>
      <c r="N1268" t="str">
        <f>"Legnami Valmorbida Sas di Valmorbida Enrico E C. Via Rompi 36030 Valli del Pasubio (VI)"</f>
        <v>Legnami Valmorbida Sas di Valmorbida Enrico E C. Via Rompi 36030 Valli del Pasubio (VI)</v>
      </c>
      <c r="O1268" t="str">
        <f>"Legnami Valmorbida Sas di Valmorbida Enrico E C. Via Rompi 36030 Valli del Pasubio (VI)"</f>
        <v>Legnami Valmorbida Sas di Valmorbida Enrico E C. Via Rompi 36030 Valli del Pasubio (VI)</v>
      </c>
      <c r="P1268" t="str">
        <f>"ZC331D2966: [392.00€ ]"</f>
        <v>ZC331D2966: [392.00€ ]</v>
      </c>
      <c r="Q1268" t="str">
        <f>""</f>
        <v/>
      </c>
      <c r="R1268" t="str">
        <f>""</f>
        <v/>
      </c>
      <c r="S1268" t="str">
        <f>""</f>
        <v/>
      </c>
      <c r="T1268" t="str">
        <f>"https://portaletrasparenza.consorziobacchiglione.it/dettagli/attodigara/6891/fornitura-di-pali-fermarosta-per-bacino-sesta-presa.html"</f>
        <v>https://portaletrasparenza.consorziobacchiglione.it/dettagli/attodigara/6891/fornitura-di-pali-fermarosta-per-bacino-sesta-presa.html</v>
      </c>
      <c r="U1268" t="str">
        <f>"https://portaletrasparenza.consorziobacchiglione.it/download/attodigara/6891/63ac458e5d2c4.PDF"</f>
        <v>https://portaletrasparenza.consorziobacchiglione.it/download/attodigara/6891/63ac458e5d2c4.PDF</v>
      </c>
      <c r="V12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69" spans="1:22" x14ac:dyDescent="0.3">
      <c r="A1269" t="str">
        <f>"Affidamento"</f>
        <v>Affidamento</v>
      </c>
      <c r="B1269" t="str">
        <f>"Fornitura ricambi per decespugliatori e motoseghe presso Bacino Montà Portello"</f>
        <v>Fornitura ricambi per decespugliatori e motoseghe presso Bacino Montà Portello</v>
      </c>
      <c r="C1269" t="str">
        <f>"Z6031D2C21"</f>
        <v>Z6031D2C21</v>
      </c>
      <c r="D1269" t="str">
        <f>"21/05/2021"</f>
        <v>21/05/2021</v>
      </c>
      <c r="E1269" t="str">
        <f>""</f>
        <v/>
      </c>
      <c r="F1269" t="str">
        <f>""</f>
        <v/>
      </c>
      <c r="G1269" t="str">
        <f>"183.40"</f>
        <v>183.40</v>
      </c>
      <c r="H1269" t="str">
        <f>"Consorzio di bonifica Bacchiglione"</f>
        <v>Consorzio di bonifica Bacchiglione</v>
      </c>
      <c r="I1269" t="str">
        <f>"92223390284"</f>
        <v>92223390284</v>
      </c>
      <c r="J1269" t="str">
        <f>"23-AFFIDAMENTO DIRETTO"</f>
        <v>23-AFFIDAMENTO DIRETTO</v>
      </c>
      <c r="K1269" t="str">
        <f>"21/05/2021"</f>
        <v>21/05/2021</v>
      </c>
      <c r="L1269" t="str">
        <f>"28/05/2021"</f>
        <v>28/05/2021</v>
      </c>
      <c r="M1269" t="str">
        <f>""</f>
        <v/>
      </c>
      <c r="N1269" t="str">
        <f>"Berto Guerrino snc Via Caovilla 27-B 35020 Saonara PD"</f>
        <v>Berto Guerrino snc Via Caovilla 27-B 35020 Saonara PD</v>
      </c>
      <c r="O1269" t="str">
        <f>"Berto Guerrino snc Via Caovilla 27-B 35020 Saonara PD"</f>
        <v>Berto Guerrino snc Via Caovilla 27-B 35020 Saonara PD</v>
      </c>
      <c r="P1269" t="str">
        <f>"Z6031D2C21: [137.00€ ]"</f>
        <v>Z6031D2C21: [137.00€ ]</v>
      </c>
      <c r="Q1269" t="str">
        <f>""</f>
        <v/>
      </c>
      <c r="R1269" t="str">
        <f>""</f>
        <v/>
      </c>
      <c r="S1269" t="str">
        <f>""</f>
        <v/>
      </c>
      <c r="T1269" t="str">
        <f>"https://portaletrasparenza.consorziobacchiglione.it/dettagli/attodigara/6892/fornitura-ricambi-per-decespugliatori-e-motoseghe-presso-bacino-monta-portello.html"</f>
        <v>https://portaletrasparenza.consorziobacchiglione.it/dettagli/attodigara/6892/fornitura-ricambi-per-decespugliatori-e-motoseghe-presso-bacino-monta-portello.html</v>
      </c>
      <c r="U1269" t="str">
        <f>"https://portaletrasparenza.consorziobacchiglione.it/download/attodigara/6892/63ac458e9686c.PDF"</f>
        <v>https://portaletrasparenza.consorziobacchiglione.it/download/attodigara/6892/63ac458e9686c.PDF</v>
      </c>
      <c r="V1269">
        <f>(SUBSTITUTE(Tabella1[[#This Row],[Importo di aggiudicazione]],".",","))-(SUBSTITUTE(  SUBSTITUTE(          SUBSTITUTE(Tabella1[[#This Row],[Dettaglio somme liquidate]],Tabella1[[#This Row],[CIG]]&amp;": [",""),"€ ]",""),".",","))</f>
        <v>46.400000000000006</v>
      </c>
    </row>
    <row r="1270" spans="1:22" x14ac:dyDescent="0.3">
      <c r="A1270" t="str">
        <f>"Affidamento"</f>
        <v>Affidamento</v>
      </c>
      <c r="B1270" t="str">
        <f>"Manutenzione e riparazione mezzo con targa: AKB005"</f>
        <v>Manutenzione e riparazione mezzo con targa: AKB005</v>
      </c>
      <c r="C1270" t="str">
        <f>"ZC73230698"</f>
        <v>ZC73230698</v>
      </c>
      <c r="D1270" t="str">
        <f>"06/07/2021"</f>
        <v>06/07/2021</v>
      </c>
      <c r="E1270" t="str">
        <f>""</f>
        <v/>
      </c>
      <c r="F1270" t="str">
        <f>""</f>
        <v/>
      </c>
      <c r="G1270" t="str">
        <f>"3817.62"</f>
        <v>3817.62</v>
      </c>
      <c r="H1270" t="str">
        <f>"Consorzio di bonifica Bacchiglione"</f>
        <v>Consorzio di bonifica Bacchiglione</v>
      </c>
      <c r="I1270" t="str">
        <f>"92223390284"</f>
        <v>92223390284</v>
      </c>
      <c r="J1270" t="str">
        <f>"23-AFFIDAMENTO DIRETTO"</f>
        <v>23-AFFIDAMENTO DIRETTO</v>
      </c>
      <c r="K1270" t="str">
        <f>"21/06/2021"</f>
        <v>21/06/2021</v>
      </c>
      <c r="L1270" t="str">
        <f>"26/07/2021"</f>
        <v>26/07/2021</v>
      </c>
      <c r="M1270" t="str">
        <f>""</f>
        <v/>
      </c>
      <c r="N1270" t="str">
        <f>"Officina Biesse S.n.c. Via Matteotti 24 35020 Arzergrande PD"</f>
        <v>Officina Biesse S.n.c. Via Matteotti 24 35020 Arzergrande PD</v>
      </c>
      <c r="O1270" t="str">
        <f>"Officina Biesse S.n.c. Via Matteotti 24 35020 Arzergrande PD"</f>
        <v>Officina Biesse S.n.c. Via Matteotti 24 35020 Arzergrande PD</v>
      </c>
      <c r="P1270" t="str">
        <f>"ZC73230698: [3817.62€ ]"</f>
        <v>ZC73230698: [3817.62€ ]</v>
      </c>
      <c r="Q1270" t="str">
        <f>""</f>
        <v/>
      </c>
      <c r="R1270" t="str">
        <f>""</f>
        <v/>
      </c>
      <c r="S1270" t="str">
        <f>""</f>
        <v/>
      </c>
      <c r="T1270" t="str">
        <f>"https://portaletrasparenza.consorziobacchiglione.it/dettagli/attodigara/6963/manutenzione-e-riparazione-mezzo-con-targa-akb005.html"</f>
        <v>https://portaletrasparenza.consorziobacchiglione.it/dettagli/attodigara/6963/manutenzione-e-riparazione-mezzo-con-targa-akb005.html</v>
      </c>
      <c r="U1270" t="str">
        <f>"https://portaletrasparenza.consorziobacchiglione.it/download/attodigara/6963/63ac45a0ae251.PDF"</f>
        <v>https://portaletrasparenza.consorziobacchiglione.it/download/attodigara/6963/63ac45a0ae251.PDF</v>
      </c>
      <c r="V127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71" spans="1:22" x14ac:dyDescent="0.3">
      <c r="A1271" t="str">
        <f>"Affidamento"</f>
        <v>Affidamento</v>
      </c>
      <c r="B1271" t="str">
        <f>"Fornitura di Microsoft Office Professional 2010 per nuovo Capo Settore Area Manutenzione."</f>
        <v>Fornitura di Microsoft Office Professional 2010 per nuovo Capo Settore Area Manutenzione.</v>
      </c>
      <c r="C1271" t="str">
        <f>"Z6A1ABA260"</f>
        <v>Z6A1ABA260</v>
      </c>
      <c r="D1271" t="str">
        <f>"04/11/2021"</f>
        <v>04/11/2021</v>
      </c>
      <c r="E1271" t="str">
        <f>""</f>
        <v/>
      </c>
      <c r="F1271" t="str">
        <f>""</f>
        <v/>
      </c>
      <c r="G1271" t="str">
        <f>"395.00"</f>
        <v>395.00</v>
      </c>
      <c r="H1271" t="str">
        <f>"Consorzio di bonifica Bacchiglione"</f>
        <v>Consorzio di bonifica Bacchiglione</v>
      </c>
      <c r="I1271" t="str">
        <f>"92223390284"</f>
        <v>92223390284</v>
      </c>
      <c r="J1271" t="str">
        <f>"23-AFFIDAMENTO DIRETTO"</f>
        <v>23-AFFIDAMENTO DIRETTO</v>
      </c>
      <c r="K1271" t="str">
        <f>"21/07/2021"</f>
        <v>21/07/2021</v>
      </c>
      <c r="L1271" t="str">
        <f>"10/08/2021"</f>
        <v>10/08/2021</v>
      </c>
      <c r="M1271" t="str">
        <f>""</f>
        <v/>
      </c>
      <c r="N1271" t="str">
        <f>"TPH Elettronica s.a.s. Via N. Pizzolo 51A 35132 Padova"</f>
        <v>TPH Elettronica s.a.s. Via N. Pizzolo 51A 35132 Padova</v>
      </c>
      <c r="O1271" t="str">
        <f>"TPH Elettronica s.a.s. Via N. Pizzolo 51A 35132 Padova"</f>
        <v>TPH Elettronica s.a.s. Via N. Pizzolo 51A 35132 Padova</v>
      </c>
      <c r="P1271" t="str">
        <f>"Z6A1ABA260: [395.00€ ]"</f>
        <v>Z6A1ABA260: [395.00€ ]</v>
      </c>
      <c r="Q1271" t="str">
        <f>""</f>
        <v/>
      </c>
      <c r="R1271" t="str">
        <f>""</f>
        <v/>
      </c>
      <c r="S1271" t="str">
        <f>""</f>
        <v/>
      </c>
      <c r="T1271" t="str">
        <f>"https://portaletrasparenza.consorziobacchiglione.it/dettagli/attodigara/610/fornitura-di-microsoft-office-professional-2010-per-nuovo-capo-settore-area-manutenzione.html"</f>
        <v>https://portaletrasparenza.consorziobacchiglione.it/dettagli/attodigara/610/fornitura-di-microsoft-office-professional-2010-per-nuovo-capo-settore-area-manutenzione.html</v>
      </c>
      <c r="U1271" t="str">
        <f>""</f>
        <v/>
      </c>
      <c r="V127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72" spans="1:22" x14ac:dyDescent="0.3">
      <c r="A1272" t="str">
        <f>"Affidamento"</f>
        <v>Affidamento</v>
      </c>
      <c r="B1272" t="str">
        <f>"Fornitura Personal Computer Fujitsu Esprimo P556 più monitor Fujitsu 24\' per nuovo Capo Settore Area Manutenzione."</f>
        <v>Fornitura Personal Computer Fujitsu Esprimo P556 più monitor Fujitsu 24\' per nuovo Capo Settore Area Manutenzione.</v>
      </c>
      <c r="C1272" t="str">
        <f>"Z111ABA1EB"</f>
        <v>Z111ABA1EB</v>
      </c>
      <c r="D1272" t="str">
        <f>"04/11/2021"</f>
        <v>04/11/2021</v>
      </c>
      <c r="E1272" t="str">
        <f>""</f>
        <v/>
      </c>
      <c r="F1272" t="str">
        <f>""</f>
        <v/>
      </c>
      <c r="G1272" t="str">
        <f>"1010.00"</f>
        <v>1010.00</v>
      </c>
      <c r="H1272" t="str">
        <f>"Consorzio di bonifica Bacchiglione"</f>
        <v>Consorzio di bonifica Bacchiglione</v>
      </c>
      <c r="I1272" t="str">
        <f>"92223390284"</f>
        <v>92223390284</v>
      </c>
      <c r="J1272" t="str">
        <f>"23-AFFIDAMENTO DIRETTO"</f>
        <v>23-AFFIDAMENTO DIRETTO</v>
      </c>
      <c r="K1272" t="str">
        <f>"21/07/2021"</f>
        <v>21/07/2021</v>
      </c>
      <c r="L1272" t="str">
        <f>"10/08/2021"</f>
        <v>10/08/2021</v>
      </c>
      <c r="M1272" t="str">
        <f>""</f>
        <v/>
      </c>
      <c r="N1272" t="str">
        <f>"TPH Elettronica s.a.s. Via N. Pizzolo 51A 35132 Padova"</f>
        <v>TPH Elettronica s.a.s. Via N. Pizzolo 51A 35132 Padova</v>
      </c>
      <c r="O1272" t="str">
        <f>"TPH Elettronica s.a.s. Via N. Pizzolo 51A 35132 Padova"</f>
        <v>TPH Elettronica s.a.s. Via N. Pizzolo 51A 35132 Padova</v>
      </c>
      <c r="P1272" t="str">
        <f>"Z111ABA1EB: [1010.00€ ]"</f>
        <v>Z111ABA1EB: [1010.00€ ]</v>
      </c>
      <c r="Q1272" t="str">
        <f>""</f>
        <v/>
      </c>
      <c r="R1272" t="str">
        <f>""</f>
        <v/>
      </c>
      <c r="S1272" t="str">
        <f>""</f>
        <v/>
      </c>
      <c r="T1272" t="str">
        <f>"https://portaletrasparenza.consorziobacchiglione.it/dettagli/attodigara/609/fornitura-personal-computer-fujitsu-esprimo-p556-piu-monitor-fujitsu-24-per-nuovo-capo-settore-area-manutenzione.html"</f>
        <v>https://portaletrasparenza.consorziobacchiglione.it/dettagli/attodigara/609/fornitura-personal-computer-fujitsu-esprimo-p556-piu-monitor-fujitsu-24-per-nuovo-capo-settore-area-manutenzione.html</v>
      </c>
      <c r="U1272" t="str">
        <f>""</f>
        <v/>
      </c>
      <c r="V127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73" spans="1:22" x14ac:dyDescent="0.3">
      <c r="A1273" t="str">
        <f>"Affidamento"</f>
        <v>Affidamento</v>
      </c>
      <c r="B1273" t="str">
        <f>"Fornitura disco al diamante turbo jet per taglio calcestruzzo sostegno Montalbano."</f>
        <v>Fornitura disco al diamante turbo jet per taglio calcestruzzo sostegno Montalbano.</v>
      </c>
      <c r="C1273" t="str">
        <f>"Z041ABA15B"</f>
        <v>Z041ABA15B</v>
      </c>
      <c r="D1273" t="str">
        <f>"04/11/2021"</f>
        <v>04/11/2021</v>
      </c>
      <c r="E1273" t="str">
        <f>""</f>
        <v/>
      </c>
      <c r="F1273" t="str">
        <f>""</f>
        <v/>
      </c>
      <c r="G1273" t="str">
        <f>"132.50"</f>
        <v>132.50</v>
      </c>
      <c r="H1273" t="str">
        <f>"Consorzio di bonifica Bacchiglione"</f>
        <v>Consorzio di bonifica Bacchiglione</v>
      </c>
      <c r="I1273" t="str">
        <f>"92223390284"</f>
        <v>92223390284</v>
      </c>
      <c r="J1273" t="str">
        <f>"23-AFFIDAMENTO DIRETTO"</f>
        <v>23-AFFIDAMENTO DIRETTO</v>
      </c>
      <c r="K1273" t="str">
        <f>"21/07/2021"</f>
        <v>21/07/2021</v>
      </c>
      <c r="L1273" t="str">
        <f>"16/09/2021"</f>
        <v>16/09/2021</v>
      </c>
      <c r="M1273" t="str">
        <f>""</f>
        <v/>
      </c>
      <c r="N1273" t="str">
        <f>"Scarpa Sergio Elettromeccanica S.n.c. di Scarpa Paola E C. Via A. Vivaldi 7 35028 Piove di Sacco PD"</f>
        <v>Scarpa Sergio Elettromeccanica S.n.c. di Scarpa Paola E C. Via A. Vivaldi 7 35028 Piove di Sacco PD</v>
      </c>
      <c r="O1273" t="str">
        <f>"Scarpa Sergio Elettromeccanica S.n.c. di Scarpa Paola E C. Via A. Vivaldi 7 35028 Piove di Sacco PD"</f>
        <v>Scarpa Sergio Elettromeccanica S.n.c. di Scarpa Paola E C. Via A. Vivaldi 7 35028 Piove di Sacco PD</v>
      </c>
      <c r="P1273" t="str">
        <f>"Z041ABA15B: [132.50€ ]"</f>
        <v>Z041ABA15B: [132.50€ ]</v>
      </c>
      <c r="Q1273" t="str">
        <f>""</f>
        <v/>
      </c>
      <c r="R1273" t="str">
        <f>""</f>
        <v/>
      </c>
      <c r="S1273" t="str">
        <f>""</f>
        <v/>
      </c>
      <c r="T1273" t="str">
        <f>"https://portaletrasparenza.consorziobacchiglione.it/dettagli/attodigara/608/fornitura-disco-al-diamante-turbo-jet-per-taglio-calcestruzzo-sostegno-montalbano.html"</f>
        <v>https://portaletrasparenza.consorziobacchiglione.it/dettagli/attodigara/608/fornitura-disco-al-diamante-turbo-jet-per-taglio-calcestruzzo-sostegno-montalbano.html</v>
      </c>
      <c r="U1273" t="str">
        <f>""</f>
        <v/>
      </c>
      <c r="V127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74" spans="1:22" x14ac:dyDescent="0.3">
      <c r="A1274" t="str">
        <f>"Affidamento"</f>
        <v>Affidamento</v>
      </c>
      <c r="B1274" t="str">
        <f>"Riparazione e manutenzione trapano a percussione Hitachi e pompa ausiliaria mobile per C.O.S.Margherita"</f>
        <v>Riparazione e manutenzione trapano a percussione Hitachi e pompa ausiliaria mobile per C.O.S.Margherita</v>
      </c>
      <c r="C1274" t="str">
        <f>"Z381ABA0AA"</f>
        <v>Z381ABA0AA</v>
      </c>
      <c r="D1274" t="str">
        <f>"04/11/2021"</f>
        <v>04/11/2021</v>
      </c>
      <c r="E1274" t="str">
        <f>""</f>
        <v/>
      </c>
      <c r="F1274" t="str">
        <f>""</f>
        <v/>
      </c>
      <c r="G1274" t="str">
        <f>"336.00"</f>
        <v>336.00</v>
      </c>
      <c r="H1274" t="str">
        <f>"Consorzio di bonifica Bacchiglione"</f>
        <v>Consorzio di bonifica Bacchiglione</v>
      </c>
      <c r="I1274" t="str">
        <f>"92223390284"</f>
        <v>92223390284</v>
      </c>
      <c r="J1274" t="str">
        <f>"23-AFFIDAMENTO DIRETTO"</f>
        <v>23-AFFIDAMENTO DIRETTO</v>
      </c>
      <c r="K1274" t="str">
        <f>"21/07/2021"</f>
        <v>21/07/2021</v>
      </c>
      <c r="L1274" t="str">
        <f>"16/09/2021"</f>
        <v>16/09/2021</v>
      </c>
      <c r="M1274" t="str">
        <f>""</f>
        <v/>
      </c>
      <c r="N1274" t="str">
        <f>"Scarpa Sergio Elettromeccanica S.n.c. di Scarpa Paola E C. Via A. Vivaldi 7 35028 Piove di Sacco PD"</f>
        <v>Scarpa Sergio Elettromeccanica S.n.c. di Scarpa Paola E C. Via A. Vivaldi 7 35028 Piove di Sacco PD</v>
      </c>
      <c r="O1274" t="str">
        <f>"Scarpa Sergio Elettromeccanica S.n.c. di Scarpa Paola E C. Via A. Vivaldi 7 35028 Piove di Sacco PD"</f>
        <v>Scarpa Sergio Elettromeccanica S.n.c. di Scarpa Paola E C. Via A. Vivaldi 7 35028 Piove di Sacco PD</v>
      </c>
      <c r="P1274" t="str">
        <f>"Z381ABA0AA: [336.00€ ]"</f>
        <v>Z381ABA0AA: [336.00€ ]</v>
      </c>
      <c r="Q1274" t="str">
        <f>""</f>
        <v/>
      </c>
      <c r="R1274" t="str">
        <f>""</f>
        <v/>
      </c>
      <c r="S1274" t="str">
        <f>""</f>
        <v/>
      </c>
      <c r="T1274" t="str">
        <f>"https://portaletrasparenza.consorziobacchiglione.it/dettagli/attodigara/607/riparazione-e-manutenzione-trapano-a-percussione-hitachi-e-pompa-ausiliaria-mobile-per-c-o-s-margherita.html"</f>
        <v>https://portaletrasparenza.consorziobacchiglione.it/dettagli/attodigara/607/riparazione-e-manutenzione-trapano-a-percussione-hitachi-e-pompa-ausiliaria-mobile-per-c-o-s-margherita.html</v>
      </c>
      <c r="U1274" t="str">
        <f>""</f>
        <v/>
      </c>
      <c r="V127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75" spans="1:22" x14ac:dyDescent="0.3">
      <c r="A1275" t="str">
        <f>"Affidamento"</f>
        <v>Affidamento</v>
      </c>
      <c r="B1275" t="str">
        <f>"Controllo annuale gru con rilascio scheda su mezzo con targa: EW930NS"</f>
        <v>Controllo annuale gru con rilascio scheda su mezzo con targa: EW930NS</v>
      </c>
      <c r="C1275" t="str">
        <f>"ZB11AB9FF1"</f>
        <v>ZB11AB9FF1</v>
      </c>
      <c r="D1275" t="str">
        <f>"04/11/2021"</f>
        <v>04/11/2021</v>
      </c>
      <c r="E1275" t="str">
        <f>""</f>
        <v/>
      </c>
      <c r="F1275" t="str">
        <f>""</f>
        <v/>
      </c>
      <c r="G1275" t="str">
        <f>"495.00"</f>
        <v>495.00</v>
      </c>
      <c r="H1275" t="str">
        <f>"Consorzio di bonifica Bacchiglione"</f>
        <v>Consorzio di bonifica Bacchiglione</v>
      </c>
      <c r="I1275" t="str">
        <f>"92223390284"</f>
        <v>92223390284</v>
      </c>
      <c r="J1275" t="str">
        <f>"23-AFFIDAMENTO DIRETTO"</f>
        <v>23-AFFIDAMENTO DIRETTO</v>
      </c>
      <c r="K1275" t="str">
        <f>"21/07/2021"</f>
        <v>21/07/2021</v>
      </c>
      <c r="L1275" t="str">
        <f>"29/09/2021"</f>
        <v>29/09/2021</v>
      </c>
      <c r="M1275" t="str">
        <f>""</f>
        <v/>
      </c>
      <c r="N1275" t="str">
        <f>"Moressa s.r.l. Via Cuccara 2 35020 Due Carrare PD"</f>
        <v>Moressa s.r.l. Via Cuccara 2 35020 Due Carrare PD</v>
      </c>
      <c r="O1275" t="str">
        <f>"Moressa s.r.l. Via Cuccara 2 35020 Due Carrare PD"</f>
        <v>Moressa s.r.l. Via Cuccara 2 35020 Due Carrare PD</v>
      </c>
      <c r="P1275" t="str">
        <f>"ZB11AB9FF1: [495.00€ ]"</f>
        <v>ZB11AB9FF1: [495.00€ ]</v>
      </c>
      <c r="Q1275" t="str">
        <f>""</f>
        <v/>
      </c>
      <c r="R1275" t="str">
        <f>""</f>
        <v/>
      </c>
      <c r="S1275" t="str">
        <f>""</f>
        <v/>
      </c>
      <c r="T1275" t="str">
        <f>"https://portaletrasparenza.consorziobacchiglione.it/dettagli/attodigara/606/controllo-annuale-gru-con-rilascio-scheda-su-mezzo-con-targa-ew930ns.html"</f>
        <v>https://portaletrasparenza.consorziobacchiglione.it/dettagli/attodigara/606/controllo-annuale-gru-con-rilascio-scheda-su-mezzo-con-targa-ew930ns.html</v>
      </c>
      <c r="U1275" t="str">
        <f>""</f>
        <v/>
      </c>
      <c r="V127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76" spans="1:22" x14ac:dyDescent="0.3">
      <c r="A1276" t="str">
        <f>"Affidamento"</f>
        <v>Affidamento</v>
      </c>
      <c r="B1276" t="str">
        <f>"Riparazione e manutenzione mezzi con targa: PDAF480, Cingolato R900."</f>
        <v>Riparazione e manutenzione mezzi con targa: PDAF480, Cingolato R900.</v>
      </c>
      <c r="C1276" t="str">
        <f>"Z161AB9F58"</f>
        <v>Z161AB9F58</v>
      </c>
      <c r="D1276" t="str">
        <f>"04/11/2021"</f>
        <v>04/11/2021</v>
      </c>
      <c r="E1276" t="str">
        <f>""</f>
        <v/>
      </c>
      <c r="F1276" t="str">
        <f>""</f>
        <v/>
      </c>
      <c r="G1276" t="str">
        <f>"1477.45"</f>
        <v>1477.45</v>
      </c>
      <c r="H1276" t="str">
        <f>"Consorzio di bonifica Bacchiglione"</f>
        <v>Consorzio di bonifica Bacchiglione</v>
      </c>
      <c r="I1276" t="str">
        <f>"92223390284"</f>
        <v>92223390284</v>
      </c>
      <c r="J1276" t="str">
        <f>"23-AFFIDAMENTO DIRETTO"</f>
        <v>23-AFFIDAMENTO DIRETTO</v>
      </c>
      <c r="K1276" t="str">
        <f>"21/07/2021"</f>
        <v>21/07/2021</v>
      </c>
      <c r="L1276" t="str">
        <f>"16/09/2021"</f>
        <v>16/09/2021</v>
      </c>
      <c r="M1276" t="str">
        <f>""</f>
        <v/>
      </c>
      <c r="N1276" t="str">
        <f>"Adriatica Commerciale Macchine s.r.l. Via dell'Artigianato 5 35020 Due Carrare PD"</f>
        <v>Adriatica Commerciale Macchine s.r.l. Via dell'Artigianato 5 35020 Due Carrare PD</v>
      </c>
      <c r="O1276" t="str">
        <f>"Adriatica Commerciale Macchine s.r.l. Via dell'Artigianato 5 35020 Due Carrare PD"</f>
        <v>Adriatica Commerciale Macchine s.r.l. Via dell'Artigianato 5 35020 Due Carrare PD</v>
      </c>
      <c r="P1276" t="str">
        <f>"Z161AB9F58: [1477.45€ ]"</f>
        <v>Z161AB9F58: [1477.45€ ]</v>
      </c>
      <c r="Q1276" t="str">
        <f>""</f>
        <v/>
      </c>
      <c r="R1276" t="str">
        <f>""</f>
        <v/>
      </c>
      <c r="S1276" t="str">
        <f>""</f>
        <v/>
      </c>
      <c r="T1276" t="str">
        <f>"https://portaletrasparenza.consorziobacchiglione.it/dettagli/attodigara/605/riparazione-e-manutenzione-mezzi-con-targa-pdaf480-cingolato-r900.html"</f>
        <v>https://portaletrasparenza.consorziobacchiglione.it/dettagli/attodigara/605/riparazione-e-manutenzione-mezzi-con-targa-pdaf480-cingolato-r900.html</v>
      </c>
      <c r="U1276" t="str">
        <f>""</f>
        <v/>
      </c>
      <c r="V127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77" spans="1:22" x14ac:dyDescent="0.3">
      <c r="A1277" t="str">
        <f>"Affidamento"</f>
        <v>Affidamento</v>
      </c>
      <c r="B1277" t="str">
        <f>"Sollevamento e posa elettropompe dell'impianto Irriguo via Magarotto, Scolo Alto, e Idrovora di Cambroso."</f>
        <v>Sollevamento e posa elettropompe dell'impianto Irriguo via Magarotto, Scolo Alto, e Idrovora di Cambroso.</v>
      </c>
      <c r="C1277" t="str">
        <f>"Z001AB9E51"</f>
        <v>Z001AB9E51</v>
      </c>
      <c r="D1277" t="str">
        <f>"04/11/2021"</f>
        <v>04/11/2021</v>
      </c>
      <c r="E1277" t="str">
        <f>""</f>
        <v/>
      </c>
      <c r="F1277" t="str">
        <f>""</f>
        <v/>
      </c>
      <c r="G1277" t="str">
        <f>"1827.00"</f>
        <v>1827.00</v>
      </c>
      <c r="H1277" t="str">
        <f>"Consorzio di bonifica Bacchiglione"</f>
        <v>Consorzio di bonifica Bacchiglione</v>
      </c>
      <c r="I1277" t="str">
        <f>"92223390284"</f>
        <v>92223390284</v>
      </c>
      <c r="J1277" t="str">
        <f>"23-AFFIDAMENTO DIRETTO"</f>
        <v>23-AFFIDAMENTO DIRETTO</v>
      </c>
      <c r="K1277" t="str">
        <f>"21/07/2021"</f>
        <v>21/07/2021</v>
      </c>
      <c r="L1277" t="str">
        <f>"15/11/2021"</f>
        <v>15/11/2021</v>
      </c>
      <c r="M1277" t="str">
        <f>""</f>
        <v/>
      </c>
      <c r="N1277" t="str">
        <f>"Xylem Water Solutions Italia S.r.l. Via Gioacchino Rossini 1A 20020 Lainate MI"</f>
        <v>Xylem Water Solutions Italia S.r.l. Via Gioacchino Rossini 1A 20020 Lainate MI</v>
      </c>
      <c r="O1277" t="str">
        <f>"Xylem Water Solutions Italia S.r.l. Via Gioacchino Rossini 1A 20020 Lainate MI"</f>
        <v>Xylem Water Solutions Italia S.r.l. Via Gioacchino Rossini 1A 20020 Lainate MI</v>
      </c>
      <c r="P1277" t="str">
        <f>"Z001AB9E51: [1827.00€ ]"</f>
        <v>Z001AB9E51: [1827.00€ ]</v>
      </c>
      <c r="Q1277" t="str">
        <f>""</f>
        <v/>
      </c>
      <c r="R1277" t="str">
        <f>""</f>
        <v/>
      </c>
      <c r="S1277" t="str">
        <f>""</f>
        <v/>
      </c>
      <c r="T1277" t="str">
        <f>"https://portaletrasparenza.consorziobacchiglione.it/dettagli/attodigara/604/sollevamento-e-posa-elettropompe-dell-impianto-irriguo-via-magarotto-scolo-alto-e-idrovora-di-cambroso.html"</f>
        <v>https://portaletrasparenza.consorziobacchiglione.it/dettagli/attodigara/604/sollevamento-e-posa-elettropompe-dell-impianto-irriguo-via-magarotto-scolo-alto-e-idrovora-di-cambroso.html</v>
      </c>
      <c r="U1277" t="str">
        <f>""</f>
        <v/>
      </c>
      <c r="V12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78" spans="1:22" x14ac:dyDescent="0.3">
      <c r="A1278" t="str">
        <f>"Affidamento"</f>
        <v>Affidamento</v>
      </c>
      <c r="B1278" t="str">
        <f>"ID020-17 LOTTO 1:SERVIZI DI BONIFICA BELLICA SISTEMATICA TERRESTRE (BST) PREVENTIVA DA ORDIGNI ESPLOSIVI RESIDUATI BELLICI DELL'AREA UMIDA DI DOLO (INTERVENTO 18), NELLA PARTE A EST DEL VECCHIO SEDIME DELLA S.P. N.° 19 DOLO - CAMPONOGARA (VIA ARZERIN"</f>
        <v>ID020-17 LOTTO 1:SERVIZI DI BONIFICA BELLICA SISTEMATICA TERRESTRE (BST) PREVENTIVA DA ORDIGNI ESPLOSIVI RESIDUATI BELLICI DELL'AREA UMIDA DI DOLO (INTERVENTO 18), NELLA PARTE A EST DEL VECCHIO SEDIME DELLA S.P. N.° 19 DOLO - CAMPONOGARA (VIA ARZERIN</v>
      </c>
      <c r="C1278" t="str">
        <f>"ZDE2F5038F"</f>
        <v>ZDE2F5038F</v>
      </c>
      <c r="D1278" t="str">
        <f>"21/07/2021"</f>
        <v>21/07/2021</v>
      </c>
      <c r="E1278" t="str">
        <f>""</f>
        <v/>
      </c>
      <c r="F1278" t="str">
        <f>""</f>
        <v/>
      </c>
      <c r="G1278" t="str">
        <f>"1500.00"</f>
        <v>1500.00</v>
      </c>
      <c r="H1278" t="str">
        <f>"CONSORZIO DI BONIFICA BACCHIGLIONE"</f>
        <v>CONSORZIO DI BONIFICA BACCHIGLIONE</v>
      </c>
      <c r="I1278" t="str">
        <f>"92223390284"</f>
        <v>92223390284</v>
      </c>
      <c r="J1278" t="str">
        <f>"23-AFFIDAMENTO DIRETTO"</f>
        <v>23-AFFIDAMENTO DIRETTO</v>
      </c>
      <c r="K1278" t="str">
        <f>"21/07/2021"</f>
        <v>21/07/2021</v>
      </c>
      <c r="L1278" t="str">
        <f>"31/12/2021"</f>
        <v>31/12/2021</v>
      </c>
      <c r="M1278" t="str">
        <f>""</f>
        <v/>
      </c>
      <c r="N1278" t="str">
        <f>"Sogelma S.r.l. | Consorzio S.T.E.R.N. | Bord Srl | Biotto Srl unipersonale | S.O.S. Bonifiche S.r.l."</f>
        <v>Sogelma S.r.l. | Consorzio S.T.E.R.N. | Bord Srl | Biotto Srl unipersonale | S.O.S. Bonifiche S.r.l.</v>
      </c>
      <c r="O1278" t="str">
        <f>""</f>
        <v/>
      </c>
      <c r="P1278" t="s">
        <v>135</v>
      </c>
      <c r="Q1278" t="str">
        <f>""</f>
        <v/>
      </c>
      <c r="R1278" t="str">
        <f>""</f>
        <v/>
      </c>
      <c r="S1278" t="str">
        <f>""</f>
        <v/>
      </c>
      <c r="T1278" t="s">
        <v>93</v>
      </c>
      <c r="U1278" t="str">
        <f>"https://portaletrasparenza.consorziobacchiglione.it/download/attodigara/4013/62a20a3c2d8bd.PDF"</f>
        <v>https://portaletrasparenza.consorziobacchiglione.it/download/attodigara/4013/62a20a3c2d8bd.PDF</v>
      </c>
      <c r="V127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79" spans="1:22" x14ac:dyDescent="0.3">
      <c r="A1279" t="str">
        <f>"Affidamento"</f>
        <v>Affidamento</v>
      </c>
      <c r="B1279" t="str">
        <f>"Noleggio attrezzatura per lavori di elettrificazione sostegno Ricicleria su scolo Governo"</f>
        <v>Noleggio attrezzatura per lavori di elettrificazione sostegno Ricicleria su scolo Governo</v>
      </c>
      <c r="C1279" t="str">
        <f>"Z14328C613"</f>
        <v>Z14328C613</v>
      </c>
      <c r="D1279" t="str">
        <f>"23/07/2021"</f>
        <v>23/07/2021</v>
      </c>
      <c r="E1279" t="str">
        <f>""</f>
        <v/>
      </c>
      <c r="F1279" t="str">
        <f>""</f>
        <v/>
      </c>
      <c r="G1279" t="str">
        <f>"1140.00"</f>
        <v>1140.00</v>
      </c>
      <c r="H1279" t="str">
        <f>"Consorzio di bonifica Bacchiglione"</f>
        <v>Consorzio di bonifica Bacchiglione</v>
      </c>
      <c r="I1279" t="str">
        <f>"92223390284"</f>
        <v>92223390284</v>
      </c>
      <c r="J1279" t="str">
        <f>"23-AFFIDAMENTO DIRETTO"</f>
        <v>23-AFFIDAMENTO DIRETTO</v>
      </c>
      <c r="K1279" t="str">
        <f>"21/07/2021"</f>
        <v>21/07/2021</v>
      </c>
      <c r="L1279" t="str">
        <f>"31/08/2021"</f>
        <v>31/08/2021</v>
      </c>
      <c r="M1279" t="str">
        <f>""</f>
        <v/>
      </c>
      <c r="N1279" t="str">
        <f>"Foredil S.r.l. Via E.Fermi, 22 - 35030 Sarmeola di Rubano (PD)"</f>
        <v>Foredil S.r.l. Via E.Fermi, 22 - 35030 Sarmeola di Rubano (PD)</v>
      </c>
      <c r="O1279" t="str">
        <f>"Foredil S.r.l. Via E.Fermi, 22 - 35030 Sarmeola di Rubano (PD)"</f>
        <v>Foredil S.r.l. Via E.Fermi, 22 - 35030 Sarmeola di Rubano (PD)</v>
      </c>
      <c r="P1279" t="str">
        <f>"Z14328C613: [1140.00€ ]"</f>
        <v>Z14328C613: [1140.00€ ]</v>
      </c>
      <c r="Q1279" t="str">
        <f>""</f>
        <v/>
      </c>
      <c r="R1279" t="str">
        <f>""</f>
        <v/>
      </c>
      <c r="S1279" t="str">
        <f>""</f>
        <v/>
      </c>
      <c r="T1279" t="str">
        <f>"https://portaletrasparenza.consorziobacchiglione.it/dettagli/attodigara/7014/noleggio-attrezzatura-per-lavori-di-elettrificazione-sostegno-ricicleria-su-scolo-governo.html"</f>
        <v>https://portaletrasparenza.consorziobacchiglione.it/dettagli/attodigara/7014/noleggio-attrezzatura-per-lavori-di-elettrificazione-sostegno-ricicleria-su-scolo-governo.html</v>
      </c>
      <c r="U1279" t="str">
        <f>"https://portaletrasparenza.consorziobacchiglione.it/download/attodigara/7014/63ac45a956f1b.PDF"</f>
        <v>https://portaletrasparenza.consorziobacchiglione.it/download/attodigara/7014/63ac45a956f1b.PDF</v>
      </c>
      <c r="V12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80" spans="1:22" x14ac:dyDescent="0.3">
      <c r="A1280" t="str">
        <f>"Affidamento"</f>
        <v>Affidamento</v>
      </c>
      <c r="B1280" t="str">
        <f>"Fornutura di un autocarro leggero dotato di gru - determina a contrarre e affidamento diretto ai sensi dell'art. 36, comma 2, lett. a), del D.Lgs. n. 50/2016"</f>
        <v>Fornutura di un autocarro leggero dotato di gru - determina a contrarre e affidamento diretto ai sensi dell'art. 36, comma 2, lett. a), del D.Lgs. n. 50/2016</v>
      </c>
      <c r="C1280" t="str">
        <f>"Z791B3EC3B"</f>
        <v>Z791B3EC3B</v>
      </c>
      <c r="D1280" t="str">
        <f>"04/11/2021"</f>
        <v>04/11/2021</v>
      </c>
      <c r="E1280" t="str">
        <f>""</f>
        <v/>
      </c>
      <c r="F1280" t="str">
        <f>""</f>
        <v/>
      </c>
      <c r="G1280" t="str">
        <f>"39860.00"</f>
        <v>39860.00</v>
      </c>
      <c r="H1280" t="str">
        <f>"Consorzio di bonifica Bacchiglione"</f>
        <v>Consorzio di bonifica Bacchiglione</v>
      </c>
      <c r="I1280" t="str">
        <f>"92223390284"</f>
        <v>92223390284</v>
      </c>
      <c r="J1280" t="str">
        <f>"23-AFFIDAMENTO DIRETTO"</f>
        <v>23-AFFIDAMENTO DIRETTO</v>
      </c>
      <c r="K1280" t="str">
        <f>"21/09/2021"</f>
        <v>21/09/2021</v>
      </c>
      <c r="L1280" t="str">
        <f>"20/02/2021"</f>
        <v>20/02/2021</v>
      </c>
      <c r="M1280" t="str">
        <f>""</f>
        <v/>
      </c>
      <c r="N1280" t="str">
        <f>"Stefanelli S.p.A"</f>
        <v>Stefanelli S.p.A</v>
      </c>
      <c r="O1280" t="str">
        <f>"Stefanelli S.p.A"</f>
        <v>Stefanelli S.p.A</v>
      </c>
      <c r="P1280" t="s">
        <v>365</v>
      </c>
      <c r="Q1280" t="str">
        <f>""</f>
        <v/>
      </c>
      <c r="R1280" t="str">
        <f>""</f>
        <v/>
      </c>
      <c r="S1280" t="str">
        <f>""</f>
        <v/>
      </c>
      <c r="T1280" t="str">
        <f>"https://portaletrasparenza.consorziobacchiglione.it/dettagli/attodigara/18/fornutura-di-un-autocarro-leggero-dotato-di-gru-determina-a-contrarre-e-affidamento-diretto-ai-sensi-dell-art-36-comma-2-lett-a-del-d-lgs-n-50-2016.html"</f>
        <v>https://portaletrasparenza.consorziobacchiglione.it/dettagli/attodigara/18/fornutura-di-un-autocarro-leggero-dotato-di-gru-determina-a-contrarre-e-affidamento-diretto-ai-sensi-dell-art-36-comma-2-lett-a-del-d-lgs-n-50-2016.html</v>
      </c>
      <c r="U1280" t="str">
        <f>""</f>
        <v/>
      </c>
      <c r="V128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81" spans="1:22" x14ac:dyDescent="0.3">
      <c r="A1281" t="str">
        <f>"Affidamento"</f>
        <v>Affidamento</v>
      </c>
      <c r="B1281" t="str">
        <f>"Fornitura n 2 Personal Computer Fujitsu Esprimo P556 più monitor Fujitsu 21,5\' per Uff. Catasto."</f>
        <v>Fornitura n 2 Personal Computer Fujitsu Esprimo P556 più monitor Fujitsu 21,5\' per Uff. Catasto.</v>
      </c>
      <c r="C1281" t="str">
        <f>"Z6A1B4379B"</f>
        <v>Z6A1B4379B</v>
      </c>
      <c r="D1281" t="str">
        <f>"04/11/2021"</f>
        <v>04/11/2021</v>
      </c>
      <c r="E1281" t="str">
        <f>""</f>
        <v/>
      </c>
      <c r="F1281" t="str">
        <f>""</f>
        <v/>
      </c>
      <c r="G1281" t="str">
        <f>"1020.00"</f>
        <v>1020.00</v>
      </c>
      <c r="H1281" t="str">
        <f>"Consorzio di bonifica Bacchiglione"</f>
        <v>Consorzio di bonifica Bacchiglione</v>
      </c>
      <c r="I1281" t="str">
        <f>"92223390284"</f>
        <v>92223390284</v>
      </c>
      <c r="J1281" t="str">
        <f>"23-AFFIDAMENTO DIRETTO"</f>
        <v>23-AFFIDAMENTO DIRETTO</v>
      </c>
      <c r="K1281" t="str">
        <f>"21/09/2021"</f>
        <v>21/09/2021</v>
      </c>
      <c r="L1281" t="str">
        <f>"27/10/2021"</f>
        <v>27/10/2021</v>
      </c>
      <c r="M1281" t="str">
        <f>""</f>
        <v/>
      </c>
      <c r="N1281" t="str">
        <f>"TPH Elettronica s.a.s. Via N. Pizzolo 51A 35132 Padova"</f>
        <v>TPH Elettronica s.a.s. Via N. Pizzolo 51A 35132 Padova</v>
      </c>
      <c r="O1281" t="str">
        <f>"TPH Elettronica s.a.s. Via N. Pizzolo 51A 35132 Padova"</f>
        <v>TPH Elettronica s.a.s. Via N. Pizzolo 51A 35132 Padova</v>
      </c>
      <c r="P1281" t="str">
        <f>"Z6A1B4379B: [1020.00€ ]"</f>
        <v>Z6A1B4379B: [1020.00€ ]</v>
      </c>
      <c r="Q1281" t="str">
        <f>""</f>
        <v/>
      </c>
      <c r="R1281" t="str">
        <f>""</f>
        <v/>
      </c>
      <c r="S1281" t="str">
        <f>""</f>
        <v/>
      </c>
      <c r="T1281" t="str">
        <f>"https://portaletrasparenza.consorziobacchiglione.it/dettagli/attodigara/758/fornitura-n-2-personal-computer-fujitsu-esprimo-p556-piu-monitor-fujitsu-21-5-per-uff-catasto.html"</f>
        <v>https://portaletrasparenza.consorziobacchiglione.it/dettagli/attodigara/758/fornitura-n-2-personal-computer-fujitsu-esprimo-p556-piu-monitor-fujitsu-21-5-per-uff-catasto.html</v>
      </c>
      <c r="U1281" t="str">
        <f>""</f>
        <v/>
      </c>
      <c r="V128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82" spans="1:22" x14ac:dyDescent="0.3">
      <c r="A1282" t="str">
        <f>"Affidamento"</f>
        <v>Affidamento</v>
      </c>
      <c r="B1282" t="str">
        <f>"Ispezione con rilievi Idrovora di Lova e assistenza lavori su chiusa presso sostegno Montalbano."</f>
        <v>Ispezione con rilievi Idrovora di Lova e assistenza lavori su chiusa presso sostegno Montalbano.</v>
      </c>
      <c r="C1282" t="str">
        <f>"Z491B43593"</f>
        <v>Z491B43593</v>
      </c>
      <c r="D1282" t="str">
        <f>"04/11/2021"</f>
        <v>04/11/2021</v>
      </c>
      <c r="E1282" t="str">
        <f>""</f>
        <v/>
      </c>
      <c r="F1282" t="str">
        <f>""</f>
        <v/>
      </c>
      <c r="G1282" t="str">
        <f>"4400.00"</f>
        <v>4400.00</v>
      </c>
      <c r="H1282" t="str">
        <f>"Consorzio di bonifica Bacchiglione"</f>
        <v>Consorzio di bonifica Bacchiglione</v>
      </c>
      <c r="I1282" t="str">
        <f>"92223390284"</f>
        <v>92223390284</v>
      </c>
      <c r="J1282" t="str">
        <f>"23-AFFIDAMENTO DIRETTO"</f>
        <v>23-AFFIDAMENTO DIRETTO</v>
      </c>
      <c r="K1282" t="str">
        <f>"21/09/2021"</f>
        <v>21/09/2021</v>
      </c>
      <c r="L1282" t="str">
        <f>"03/01/2021"</f>
        <v>03/01/2021</v>
      </c>
      <c r="M1282" t="str">
        <f>""</f>
        <v/>
      </c>
      <c r="N1282" t="str">
        <f>"Trasmar SRL Via delle Macchine 49 30175 Porto Marghera VE"</f>
        <v>Trasmar SRL Via delle Macchine 49 30175 Porto Marghera VE</v>
      </c>
      <c r="O1282" t="str">
        <f>"Trasmar SRL Via delle Macchine 49 30175 Porto Marghera VE"</f>
        <v>Trasmar SRL Via delle Macchine 49 30175 Porto Marghera VE</v>
      </c>
      <c r="P1282" t="str">
        <f>"Z491B43593: [4400.00€ ]"</f>
        <v>Z491B43593: [4400.00€ ]</v>
      </c>
      <c r="Q1282" t="str">
        <f>""</f>
        <v/>
      </c>
      <c r="R1282" t="str">
        <f>""</f>
        <v/>
      </c>
      <c r="S1282" t="str">
        <f>""</f>
        <v/>
      </c>
      <c r="T1282" t="str">
        <f>"https://portaletrasparenza.consorziobacchiglione.it/dettagli/attodigara/757/ispezione-con-rilievi-idrovora-di-lova-e-assistenza-lavori-su-chiusa-presso-sostegno-montalbano.html"</f>
        <v>https://portaletrasparenza.consorziobacchiglione.it/dettagli/attodigara/757/ispezione-con-rilievi-idrovora-di-lova-e-assistenza-lavori-su-chiusa-presso-sostegno-montalbano.html</v>
      </c>
      <c r="U1282" t="str">
        <f>""</f>
        <v/>
      </c>
      <c r="V12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83" spans="1:22" x14ac:dyDescent="0.3">
      <c r="A1283" t="str">
        <f>"Affidamento"</f>
        <v>Affidamento</v>
      </c>
      <c r="B1283" t="str">
        <f>"Controllo semestrale gru su mezzo con targa: PDB49361"</f>
        <v>Controllo semestrale gru su mezzo con targa: PDB49361</v>
      </c>
      <c r="C1283" t="str">
        <f>"Z9F1B42F57"</f>
        <v>Z9F1B42F57</v>
      </c>
      <c r="D1283" t="str">
        <f>"04/11/2021"</f>
        <v>04/11/2021</v>
      </c>
      <c r="E1283" t="str">
        <f>""</f>
        <v/>
      </c>
      <c r="F1283" t="str">
        <f>""</f>
        <v/>
      </c>
      <c r="G1283" t="str">
        <f>"195.00"</f>
        <v>195.00</v>
      </c>
      <c r="H1283" t="str">
        <f>"Consorzio di bonifica Bacchiglione"</f>
        <v>Consorzio di bonifica Bacchiglione</v>
      </c>
      <c r="I1283" t="str">
        <f>"92223390284"</f>
        <v>92223390284</v>
      </c>
      <c r="J1283" t="str">
        <f>"23-AFFIDAMENTO DIRETTO"</f>
        <v>23-AFFIDAMENTO DIRETTO</v>
      </c>
      <c r="K1283" t="str">
        <f>"21/09/2021"</f>
        <v>21/09/2021</v>
      </c>
      <c r="L1283" t="str">
        <f>"15/11/2021"</f>
        <v>15/11/2021</v>
      </c>
      <c r="M1283" t="str">
        <f>""</f>
        <v/>
      </c>
      <c r="N1283" t="str">
        <f>"Moressa s.r.l. Via Cuccara 2 35020 Due Carrare PD"</f>
        <v>Moressa s.r.l. Via Cuccara 2 35020 Due Carrare PD</v>
      </c>
      <c r="O1283" t="str">
        <f>"Moressa s.r.l. Via Cuccara 2 35020 Due Carrare PD"</f>
        <v>Moressa s.r.l. Via Cuccara 2 35020 Due Carrare PD</v>
      </c>
      <c r="P1283" t="str">
        <f>"Z9F1B42F57: [195.00€ ]"</f>
        <v>Z9F1B42F57: [195.00€ ]</v>
      </c>
      <c r="Q1283" t="str">
        <f>""</f>
        <v/>
      </c>
      <c r="R1283" t="str">
        <f>""</f>
        <v/>
      </c>
      <c r="S1283" t="str">
        <f>""</f>
        <v/>
      </c>
      <c r="T1283" t="str">
        <f>"https://portaletrasparenza.consorziobacchiglione.it/dettagli/attodigara/756/controllo-semestrale-gru-su-mezzo-con-targa-pdb49361.html"</f>
        <v>https://portaletrasparenza.consorziobacchiglione.it/dettagli/attodigara/756/controllo-semestrale-gru-su-mezzo-con-targa-pdb49361.html</v>
      </c>
      <c r="U1283" t="str">
        <f>""</f>
        <v/>
      </c>
      <c r="V128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84" spans="1:22" x14ac:dyDescent="0.3">
      <c r="A1284" t="str">
        <f>"Affidamento"</f>
        <v>Affidamento</v>
      </c>
      <c r="B1284" t="str">
        <f>"Fornitura materiale elettrico per Bacino Sesta Presa."</f>
        <v>Fornitura materiale elettrico per Bacino Sesta Presa.</v>
      </c>
      <c r="C1284" t="str">
        <f>"Z2E1B41E9C"</f>
        <v>Z2E1B41E9C</v>
      </c>
      <c r="D1284" t="str">
        <f>"04/11/2021"</f>
        <v>04/11/2021</v>
      </c>
      <c r="E1284" t="str">
        <f>""</f>
        <v/>
      </c>
      <c r="F1284" t="str">
        <f>""</f>
        <v/>
      </c>
      <c r="G1284" t="str">
        <f>"1661.44"</f>
        <v>1661.44</v>
      </c>
      <c r="H1284" t="str">
        <f>"Consorzio di bonifica Bacchiglione"</f>
        <v>Consorzio di bonifica Bacchiglione</v>
      </c>
      <c r="I1284" t="str">
        <f>"92223390284"</f>
        <v>92223390284</v>
      </c>
      <c r="J1284" t="str">
        <f>"23-AFFIDAMENTO DIRETTO"</f>
        <v>23-AFFIDAMENTO DIRETTO</v>
      </c>
      <c r="K1284" t="str">
        <f>"21/09/2021"</f>
        <v>21/09/2021</v>
      </c>
      <c r="L1284" t="str">
        <f>"03/01/2021"</f>
        <v>03/01/2021</v>
      </c>
      <c r="M1284" t="str">
        <f>""</f>
        <v/>
      </c>
      <c r="N1284" t="str">
        <f>"PR electronics Via Lodovico Ariosto 19 I 20091 Bresso MI"</f>
        <v>PR electronics Via Lodovico Ariosto 19 I 20091 Bresso MI</v>
      </c>
      <c r="O1284" t="str">
        <f>"PR electronics Via Lodovico Ariosto 19 I 20091 Bresso MI"</f>
        <v>PR electronics Via Lodovico Ariosto 19 I 20091 Bresso MI</v>
      </c>
      <c r="P1284" t="str">
        <f>"Z2E1B41E9C: [1661.44€ ]"</f>
        <v>Z2E1B41E9C: [1661.44€ ]</v>
      </c>
      <c r="Q1284" t="str">
        <f>""</f>
        <v/>
      </c>
      <c r="R1284" t="str">
        <f>""</f>
        <v/>
      </c>
      <c r="S1284" t="str">
        <f>""</f>
        <v/>
      </c>
      <c r="T1284" t="str">
        <f>"https://portaletrasparenza.consorziobacchiglione.it/dettagli/attodigara/755/fornitura-materiale-elettrico-per-bacino-sesta-presa.html"</f>
        <v>https://portaletrasparenza.consorziobacchiglione.it/dettagli/attodigara/755/fornitura-materiale-elettrico-per-bacino-sesta-presa.html</v>
      </c>
      <c r="U1284" t="str">
        <f>""</f>
        <v/>
      </c>
      <c r="V12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85" spans="1:22" x14ac:dyDescent="0.3">
      <c r="A1285" t="str">
        <f>"Affidamento"</f>
        <v>Affidamento</v>
      </c>
      <c r="B1285" t="str">
        <f>"Corso formazione RSPP E CSE/CSP a processo: tavola rotonda sulle strategie per difendersi."</f>
        <v>Corso formazione RSPP E CSE/CSP a processo: tavola rotonda sulle strategie per difendersi.</v>
      </c>
      <c r="C1285" t="str">
        <f>"Z401B20D1B"</f>
        <v>Z401B20D1B</v>
      </c>
      <c r="D1285" t="str">
        <f>"04/11/2021"</f>
        <v>04/11/2021</v>
      </c>
      <c r="E1285" t="str">
        <f>""</f>
        <v/>
      </c>
      <c r="F1285" t="str">
        <f>""</f>
        <v/>
      </c>
      <c r="G1285" t="str">
        <f>"150.00"</f>
        <v>150.00</v>
      </c>
      <c r="H1285" t="str">
        <f>"Consorzio di bonifica Bacchiglione"</f>
        <v>Consorzio di bonifica Bacchiglione</v>
      </c>
      <c r="I1285" t="str">
        <f>"92223390284"</f>
        <v>92223390284</v>
      </c>
      <c r="J1285" t="str">
        <f>"23-AFFIDAMENTO DIRETTO"</f>
        <v>23-AFFIDAMENTO DIRETTO</v>
      </c>
      <c r="K1285" t="str">
        <f>"21/09/2021"</f>
        <v>21/09/2021</v>
      </c>
      <c r="L1285" t="str">
        <f>"11/10/2021"</f>
        <v>11/10/2021</v>
      </c>
      <c r="M1285" t="str">
        <f>""</f>
        <v/>
      </c>
      <c r="N1285" t="str">
        <f>"LISA servizi s.r.l. Via Campania 11 30030 Martellago VE"</f>
        <v>LISA servizi s.r.l. Via Campania 11 30030 Martellago VE</v>
      </c>
      <c r="O1285" t="str">
        <f>"LISA servizi s.r.l. Via Campania 11 30030 Martellago VE"</f>
        <v>LISA servizi s.r.l. Via Campania 11 30030 Martellago VE</v>
      </c>
      <c r="P1285" t="str">
        <f>"Z401B20D1B: [150.00€ ]"</f>
        <v>Z401B20D1B: [150.00€ ]</v>
      </c>
      <c r="Q1285" t="str">
        <f>""</f>
        <v/>
      </c>
      <c r="R1285" t="str">
        <f>""</f>
        <v/>
      </c>
      <c r="S1285" t="str">
        <f>""</f>
        <v/>
      </c>
      <c r="T1285" t="str">
        <f>"https://portaletrasparenza.consorziobacchiglione.it/dettagli/attodigara/754/corso-formazione-rspp-e-cse-csp-a-processo-tavola-rotonda-sulle-strategie-per-difendersi.html"</f>
        <v>https://portaletrasparenza.consorziobacchiglione.it/dettagli/attodigara/754/corso-formazione-rspp-e-cse-csp-a-processo-tavola-rotonda-sulle-strategie-per-difendersi.html</v>
      </c>
      <c r="U1285" t="str">
        <f>""</f>
        <v/>
      </c>
      <c r="V12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86" spans="1:22" x14ac:dyDescent="0.3">
      <c r="A1286" t="str">
        <f>"Affidamento"</f>
        <v>Affidamento</v>
      </c>
      <c r="B1286" t="str">
        <f>"Attivazione nuova casella PEC per invio avvisi di pagamento mediante email"</f>
        <v>Attivazione nuova casella PEC per invio avvisi di pagamento mediante email</v>
      </c>
      <c r="C1286" t="str">
        <f>"ZBD1B42BA9"</f>
        <v>ZBD1B42BA9</v>
      </c>
      <c r="D1286" t="str">
        <f>"04/11/2021"</f>
        <v>04/11/2021</v>
      </c>
      <c r="E1286" t="str">
        <f>""</f>
        <v/>
      </c>
      <c r="F1286" t="str">
        <f>""</f>
        <v/>
      </c>
      <c r="G1286" t="str">
        <f>"110.00"</f>
        <v>110.00</v>
      </c>
      <c r="H1286" t="str">
        <f>"Consorzio di bonifica Bacchiglione"</f>
        <v>Consorzio di bonifica Bacchiglione</v>
      </c>
      <c r="I1286" t="str">
        <f>"92223390284"</f>
        <v>92223390284</v>
      </c>
      <c r="J1286" t="str">
        <f>"23-AFFIDAMENTO DIRETTO"</f>
        <v>23-AFFIDAMENTO DIRETTO</v>
      </c>
      <c r="K1286" t="str">
        <f>"21/09/2021"</f>
        <v>21/09/2021</v>
      </c>
      <c r="L1286" t="str">
        <f>"04/10/2021"</f>
        <v>04/10/2021</v>
      </c>
      <c r="M1286" t="str">
        <f>""</f>
        <v/>
      </c>
      <c r="N1286" t="str">
        <f>"HIGH RESOLUTION S.R.L."</f>
        <v>HIGH RESOLUTION S.R.L.</v>
      </c>
      <c r="O1286" t="str">
        <f>"HIGH RESOLUTION S.R.L."</f>
        <v>HIGH RESOLUTION S.R.L.</v>
      </c>
      <c r="P1286" t="str">
        <f>"ZBD1B42BA9: [110.00€ ]"</f>
        <v>ZBD1B42BA9: [110.00€ ]</v>
      </c>
      <c r="Q1286" t="str">
        <f>""</f>
        <v/>
      </c>
      <c r="R1286" t="str">
        <f>""</f>
        <v/>
      </c>
      <c r="S1286" t="str">
        <f>""</f>
        <v/>
      </c>
      <c r="T1286" t="str">
        <f>"https://portaletrasparenza.consorziobacchiglione.it/dettagli/attodigara/753/attivazione-nuova-casella-pec-per-invio-avvisi-di-pagamento-mediante-email.html"</f>
        <v>https://portaletrasparenza.consorziobacchiglione.it/dettagli/attodigara/753/attivazione-nuova-casella-pec-per-invio-avvisi-di-pagamento-mediante-email.html</v>
      </c>
      <c r="U1286" t="str">
        <f>""</f>
        <v/>
      </c>
      <c r="V128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87" spans="1:22" x14ac:dyDescent="0.3">
      <c r="A1287" t="str">
        <f>"Affidamento"</f>
        <v>Affidamento</v>
      </c>
      <c r="B1287" t="str">
        <f>"Sostituzione cuscinetti su rullo di scorrimento trincia del mezzo targato: AKV813"</f>
        <v>Sostituzione cuscinetti su rullo di scorrimento trincia del mezzo targato: AKV813</v>
      </c>
      <c r="C1287" t="str">
        <f>"Z7D331FBF8"</f>
        <v>Z7D331FBF8</v>
      </c>
      <c r="D1287" t="str">
        <f>"21/09/2021"</f>
        <v>21/09/2021</v>
      </c>
      <c r="E1287" t="str">
        <f>""</f>
        <v/>
      </c>
      <c r="F1287" t="str">
        <f>""</f>
        <v/>
      </c>
      <c r="G1287" t="str">
        <f>"792.34"</f>
        <v>792.34</v>
      </c>
      <c r="H1287" t="str">
        <f>"Consorzio di bonifica Bacchiglione"</f>
        <v>Consorzio di bonifica Bacchiglione</v>
      </c>
      <c r="I1287" t="str">
        <f>"92223390284"</f>
        <v>92223390284</v>
      </c>
      <c r="J1287" t="str">
        <f>"23-AFFIDAMENTO DIRETTO"</f>
        <v>23-AFFIDAMENTO DIRETTO</v>
      </c>
      <c r="K1287" t="str">
        <f>"21/09/2021"</f>
        <v>21/09/2021</v>
      </c>
      <c r="L1287" t="str">
        <f>"29/09/2021"</f>
        <v>29/09/2021</v>
      </c>
      <c r="M1287" t="str">
        <f>""</f>
        <v/>
      </c>
      <c r="N1287" t="str">
        <f>"Foredil S.r.l. Via E.Fermi, 22 - 35030 Sarmeola di Rubano (PD)"</f>
        <v>Foredil S.r.l. Via E.Fermi, 22 - 35030 Sarmeola di Rubano (PD)</v>
      </c>
      <c r="O1287" t="str">
        <f>"Foredil S.r.l. Via E.Fermi, 22 - 35030 Sarmeola di Rubano (PD)"</f>
        <v>Foredil S.r.l. Via E.Fermi, 22 - 35030 Sarmeola di Rubano (PD)</v>
      </c>
      <c r="P1287" t="str">
        <f>"Z7D331FBF8: [792.34€ ]"</f>
        <v>Z7D331FBF8: [792.34€ ]</v>
      </c>
      <c r="Q1287" t="str">
        <f>""</f>
        <v/>
      </c>
      <c r="R1287" t="str">
        <f>""</f>
        <v/>
      </c>
      <c r="S1287" t="str">
        <f>""</f>
        <v/>
      </c>
      <c r="T1287" t="str">
        <f>"https://portaletrasparenza.consorziobacchiglione.it/dettagli/attodigara/7157/sostituzione-cuscinetti-su-rullo-di-scorrimento-trincia-del-mezzo-targato-akv813.html"</f>
        <v>https://portaletrasparenza.consorziobacchiglione.it/dettagli/attodigara/7157/sostituzione-cuscinetti-su-rullo-di-scorrimento-trincia-del-mezzo-targato-akv813.html</v>
      </c>
      <c r="U1287" t="str">
        <f>"https://portaletrasparenza.consorziobacchiglione.it/download/attodigara/7157/63ac45ca3b49d.PDF"</f>
        <v>https://portaletrasparenza.consorziobacchiglione.it/download/attodigara/7157/63ac45ca3b49d.PDF</v>
      </c>
      <c r="V12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88" spans="1:22" x14ac:dyDescent="0.3">
      <c r="A1288" t="str">
        <f>"Affidamento"</f>
        <v>Affidamento</v>
      </c>
      <c r="B1288" t="str">
        <f>"Sostituzione n.2 pneumatici posteriori del mezzo targato: AKD221"</f>
        <v>Sostituzione n.2 pneumatici posteriori del mezzo targato: AKD221</v>
      </c>
      <c r="C1288" t="str">
        <f>"Z6F331F446"</f>
        <v>Z6F331F446</v>
      </c>
      <c r="D1288" t="str">
        <f>"21/09/2021"</f>
        <v>21/09/2021</v>
      </c>
      <c r="E1288" t="str">
        <f>""</f>
        <v/>
      </c>
      <c r="F1288" t="str">
        <f>""</f>
        <v/>
      </c>
      <c r="G1288" t="str">
        <f>"1725.39"</f>
        <v>1725.39</v>
      </c>
      <c r="H1288" t="str">
        <f>"Consorzio di bonifica Bacchiglione"</f>
        <v>Consorzio di bonifica Bacchiglione</v>
      </c>
      <c r="I1288" t="str">
        <f>"92223390284"</f>
        <v>92223390284</v>
      </c>
      <c r="J1288" t="str">
        <f>"23-AFFIDAMENTO DIRETTO"</f>
        <v>23-AFFIDAMENTO DIRETTO</v>
      </c>
      <c r="K1288" t="str">
        <f>"21/09/2021"</f>
        <v>21/09/2021</v>
      </c>
      <c r="L1288" t="str">
        <f>"29/09/2021"</f>
        <v>29/09/2021</v>
      </c>
      <c r="M1288" t="str">
        <f>""</f>
        <v/>
      </c>
      <c r="N1288" t="str">
        <f>"Giacobazzi Gomme Corso Terme 27 35036 Montegrotto Terme PD"</f>
        <v>Giacobazzi Gomme Corso Terme 27 35036 Montegrotto Terme PD</v>
      </c>
      <c r="O1288" t="str">
        <f>"Giacobazzi Gomme Corso Terme 27 35036 Montegrotto Terme PD"</f>
        <v>Giacobazzi Gomme Corso Terme 27 35036 Montegrotto Terme PD</v>
      </c>
      <c r="P1288" t="str">
        <f>"Z6F331F446: [1725.39€ ]"</f>
        <v>Z6F331F446: [1725.39€ ]</v>
      </c>
      <c r="Q1288" t="str">
        <f>""</f>
        <v/>
      </c>
      <c r="R1288" t="str">
        <f>""</f>
        <v/>
      </c>
      <c r="S1288" t="str">
        <f>""</f>
        <v/>
      </c>
      <c r="T1288" t="str">
        <f>"https://portaletrasparenza.consorziobacchiglione.it/dettagli/attodigara/7155/sostituzione-n-2-pneumatici-posteriori-del-mezzo-targato-akd221.html"</f>
        <v>https://portaletrasparenza.consorziobacchiglione.it/dettagli/attodigara/7155/sostituzione-n-2-pneumatici-posteriori-del-mezzo-targato-akd221.html</v>
      </c>
      <c r="U1288" t="str">
        <f>"https://portaletrasparenza.consorziobacchiglione.it/download/attodigara/7155/63ac45c9c0e22.PDF"</f>
        <v>https://portaletrasparenza.consorziobacchiglione.it/download/attodigara/7155/63ac45c9c0e22.PDF</v>
      </c>
      <c r="V128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89" spans="1:22" x14ac:dyDescent="0.3">
      <c r="A1289" t="str">
        <f>"Affidamento"</f>
        <v>Affidamento</v>
      </c>
      <c r="B1289" t="str">
        <f>"Prestazioni professionali."</f>
        <v>Prestazioni professionali.</v>
      </c>
      <c r="C1289" t="str">
        <f>"Z7E330FE4C"</f>
        <v>Z7E330FE4C</v>
      </c>
      <c r="D1289" t="str">
        <f>"23/09/2021"</f>
        <v>23/09/2021</v>
      </c>
      <c r="E1289" t="str">
        <f>""</f>
        <v/>
      </c>
      <c r="F1289" t="str">
        <f>""</f>
        <v/>
      </c>
      <c r="G1289" t="str">
        <f>"6982.50"</f>
        <v>6982.50</v>
      </c>
      <c r="H1289" t="str">
        <f>"Consorzio di bonifica Bacchiglione"</f>
        <v>Consorzio di bonifica Bacchiglione</v>
      </c>
      <c r="I1289" t="str">
        <f>"92223390284"</f>
        <v>92223390284</v>
      </c>
      <c r="J1289" t="str">
        <f>"23-AFFIDAMENTO DIRETTO"</f>
        <v>23-AFFIDAMENTO DIRETTO</v>
      </c>
      <c r="K1289" t="str">
        <f>"21/09/2021"</f>
        <v>21/09/2021</v>
      </c>
      <c r="L1289" t="str">
        <f>"31/12/2021"</f>
        <v>31/12/2021</v>
      </c>
      <c r="M1289" t="str">
        <f>""</f>
        <v/>
      </c>
      <c r="N1289" t="str">
        <f>"BOCCON geom. LUCA"</f>
        <v>BOCCON geom. LUCA</v>
      </c>
      <c r="O1289" t="str">
        <f>"BOCCON geom. LUCA"</f>
        <v>BOCCON geom. LUCA</v>
      </c>
      <c r="P1289" t="str">
        <f>"Z7E330FE4C: [4200.00€ ]"</f>
        <v>Z7E330FE4C: [4200.00€ ]</v>
      </c>
      <c r="Q1289" t="str">
        <f>""</f>
        <v/>
      </c>
      <c r="R1289" t="str">
        <f>""</f>
        <v/>
      </c>
      <c r="S1289" t="str">
        <f>""</f>
        <v/>
      </c>
      <c r="T1289" t="str">
        <f>"https://portaletrasparenza.consorziobacchiglione.it/dettagli/attodigara/7158/prestazioni-professionali.html"</f>
        <v>https://portaletrasparenza.consorziobacchiglione.it/dettagli/attodigara/7158/prestazioni-professionali.html</v>
      </c>
      <c r="U1289" t="str">
        <f>"https://portaletrasparenza.consorziobacchiglione.it/download/attodigara/7158/63ac45cad2258.PDF"</f>
        <v>https://portaletrasparenza.consorziobacchiglione.it/download/attodigara/7158/63ac45cad2258.PDF</v>
      </c>
      <c r="V1289">
        <f>(SUBSTITUTE(Tabella1[[#This Row],[Importo di aggiudicazione]],".",","))-(SUBSTITUTE(  SUBSTITUTE(          SUBSTITUTE(Tabella1[[#This Row],[Dettaglio somme liquidate]],Tabella1[[#This Row],[CIG]]&amp;": [",""),"€ ]",""),".",","))</f>
        <v>2782.5</v>
      </c>
    </row>
    <row r="1290" spans="1:22" x14ac:dyDescent="0.3">
      <c r="A1290" t="str">
        <f>"Affidamento"</f>
        <v>Affidamento</v>
      </c>
      <c r="B1290" t="str">
        <f>"Sostituzione portellone e parafango posteriore del mezzo targato: FN935RF"</f>
        <v>Sostituzione portellone e parafango posteriore del mezzo targato: FN935RF</v>
      </c>
      <c r="C1290" t="str">
        <f>"ZB5331F774"</f>
        <v>ZB5331F774</v>
      </c>
      <c r="D1290" t="str">
        <f>"24/09/2021"</f>
        <v>24/09/2021</v>
      </c>
      <c r="E1290" t="str">
        <f>""</f>
        <v/>
      </c>
      <c r="F1290" t="str">
        <f>""</f>
        <v/>
      </c>
      <c r="G1290" t="str">
        <f>"413.10"</f>
        <v>413.10</v>
      </c>
      <c r="H1290" t="str">
        <f>"Consorzio di bonifica Bacchiglione"</f>
        <v>Consorzio di bonifica Bacchiglione</v>
      </c>
      <c r="I1290" t="str">
        <f>"92223390284"</f>
        <v>92223390284</v>
      </c>
      <c r="J1290" t="str">
        <f>"23-AFFIDAMENTO DIRETTO"</f>
        <v>23-AFFIDAMENTO DIRETTO</v>
      </c>
      <c r="K1290" t="str">
        <f>"21/09/2021"</f>
        <v>21/09/2021</v>
      </c>
      <c r="L1290" t="str">
        <f>"06/12/2021"</f>
        <v>06/12/2021</v>
      </c>
      <c r="M1290" t="str">
        <f>""</f>
        <v/>
      </c>
      <c r="N1290" t="str">
        <f>"Carrozzeria Biasion S.N.C. Via Bassa 45 35020 Arzergrande PD"</f>
        <v>Carrozzeria Biasion S.N.C. Via Bassa 45 35020 Arzergrande PD</v>
      </c>
      <c r="O1290" t="str">
        <f>"Carrozzeria Biasion S.N.C. Via Bassa 45 35020 Arzergrande PD"</f>
        <v>Carrozzeria Biasion S.N.C. Via Bassa 45 35020 Arzergrande PD</v>
      </c>
      <c r="P1290" t="s">
        <v>275</v>
      </c>
      <c r="Q1290" t="str">
        <f>""</f>
        <v/>
      </c>
      <c r="R1290" t="str">
        <f>""</f>
        <v/>
      </c>
      <c r="S1290" t="str">
        <f>""</f>
        <v/>
      </c>
      <c r="T1290" t="str">
        <f>"https://portaletrasparenza.consorziobacchiglione.it/dettagli/attodigara/7156/sostituzione-portellone-e-parafango-posteriore-del-mezzo-targato-fn935rf.html"</f>
        <v>https://portaletrasparenza.consorziobacchiglione.it/dettagli/attodigara/7156/sostituzione-portellone-e-parafango-posteriore-del-mezzo-targato-fn935rf.html</v>
      </c>
      <c r="U1290" t="str">
        <f>"https://portaletrasparenza.consorziobacchiglione.it/download/attodigara/7156/63ac45cbcf655.PDF"</f>
        <v>https://portaletrasparenza.consorziobacchiglione.it/download/attodigara/7156/63ac45cbcf655.PDF</v>
      </c>
      <c r="V12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91" spans="1:22" x14ac:dyDescent="0.3">
      <c r="A1291" t="str">
        <f>"Affidamento"</f>
        <v>Affidamento</v>
      </c>
      <c r="B1291" t="str">
        <f>"Fornitura materiale di ferramenta e materiale edile per vari Impianti."</f>
        <v>Fornitura materiale di ferramenta e materiale edile per vari Impianti.</v>
      </c>
      <c r="C1291" t="str">
        <f>"Z741BB1848"</f>
        <v>Z741BB1848</v>
      </c>
      <c r="D1291" t="str">
        <f>"04/11/2021"</f>
        <v>04/11/2021</v>
      </c>
      <c r="E1291" t="str">
        <f>""</f>
        <v/>
      </c>
      <c r="F1291" t="str">
        <f>""</f>
        <v/>
      </c>
      <c r="G1291" t="str">
        <f>"576.76"</f>
        <v>576.76</v>
      </c>
      <c r="H1291" t="str">
        <f>"Consorzio di bonifica Bacchiglione"</f>
        <v>Consorzio di bonifica Bacchiglione</v>
      </c>
      <c r="I1291" t="str">
        <f>"92223390284"</f>
        <v>92223390284</v>
      </c>
      <c r="J1291" t="str">
        <f>"23-AFFIDAMENTO DIRETTO"</f>
        <v>23-AFFIDAMENTO DIRETTO</v>
      </c>
      <c r="K1291" t="str">
        <f>"21/10/2021"</f>
        <v>21/10/2021</v>
      </c>
      <c r="L1291" t="str">
        <f>"30/11/2021"</f>
        <v>30/11/2021</v>
      </c>
      <c r="M1291" t="str">
        <f>""</f>
        <v/>
      </c>
      <c r="N1291" t="str">
        <f>"Gollo Giovanni Via Vallona 65 35020 Conche di Codevigo PD"</f>
        <v>Gollo Giovanni Via Vallona 65 35020 Conche di Codevigo PD</v>
      </c>
      <c r="O1291" t="str">
        <f>"Gollo Giovanni Via Vallona 65 35020 Conche di Codevigo PD"</f>
        <v>Gollo Giovanni Via Vallona 65 35020 Conche di Codevigo PD</v>
      </c>
      <c r="P1291" t="s">
        <v>338</v>
      </c>
      <c r="Q1291" t="str">
        <f>""</f>
        <v/>
      </c>
      <c r="R1291" t="str">
        <f>""</f>
        <v/>
      </c>
      <c r="S1291" t="str">
        <f>""</f>
        <v/>
      </c>
      <c r="T1291" t="str">
        <f>"https://portaletrasparenza.consorziobacchiglione.it/dettagli/attodigara/843/fornitura-materiale-di-ferramenta-e-materiale-edile-per-vari-impianti.html"</f>
        <v>https://portaletrasparenza.consorziobacchiglione.it/dettagli/attodigara/843/fornitura-materiale-di-ferramenta-e-materiale-edile-per-vari-impianti.html</v>
      </c>
      <c r="U1291" t="str">
        <f>""</f>
        <v/>
      </c>
      <c r="V12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92" spans="1:22" x14ac:dyDescent="0.3">
      <c r="A1292" t="str">
        <f>"Affidamento"</f>
        <v>Affidamento</v>
      </c>
      <c r="B1292" t="str">
        <f>"Fornitura materiale di ferramenta vario per Bacino Pratiarcati, Sesta Presa, Porta Trento."</f>
        <v>Fornitura materiale di ferramenta vario per Bacino Pratiarcati, Sesta Presa, Porta Trento.</v>
      </c>
      <c r="C1292" t="str">
        <f>"ZBA1BB1A7B"</f>
        <v>ZBA1BB1A7B</v>
      </c>
      <c r="D1292" t="str">
        <f>"04/11/2021"</f>
        <v>04/11/2021</v>
      </c>
      <c r="E1292" t="str">
        <f>""</f>
        <v/>
      </c>
      <c r="F1292" t="str">
        <f>""</f>
        <v/>
      </c>
      <c r="G1292" t="str">
        <f>"3024.28"</f>
        <v>3024.28</v>
      </c>
      <c r="H1292" t="str">
        <f>"Consorzio di bonifica Bacchiglione"</f>
        <v>Consorzio di bonifica Bacchiglione</v>
      </c>
      <c r="I1292" t="str">
        <f>"92223390284"</f>
        <v>92223390284</v>
      </c>
      <c r="J1292" t="str">
        <f>"23-AFFIDAMENTO DIRETTO"</f>
        <v>23-AFFIDAMENTO DIRETTO</v>
      </c>
      <c r="K1292" t="str">
        <f>"21/10/2021"</f>
        <v>21/10/2021</v>
      </c>
      <c r="L1292" t="str">
        <f>"30/11/2021"</f>
        <v>30/11/2021</v>
      </c>
      <c r="M1292" t="str">
        <f>""</f>
        <v/>
      </c>
      <c r="N1292" t="str">
        <f>"Erre Emme s.n.c. Via Cavour 27 35020 Casalserugo PD"</f>
        <v>Erre Emme s.n.c. Via Cavour 27 35020 Casalserugo PD</v>
      </c>
      <c r="O1292" t="str">
        <f>"Erre Emme s.n.c. Via Cavour 27 35020 Casalserugo PD"</f>
        <v>Erre Emme s.n.c. Via Cavour 27 35020 Casalserugo PD</v>
      </c>
      <c r="P1292" t="s">
        <v>352</v>
      </c>
      <c r="Q1292" t="str">
        <f>""</f>
        <v/>
      </c>
      <c r="R1292" t="str">
        <f>""</f>
        <v/>
      </c>
      <c r="S1292" t="str">
        <f>""</f>
        <v/>
      </c>
      <c r="T1292" t="str">
        <f>"https://portaletrasparenza.consorziobacchiglione.it/dettagli/attodigara/844/fornitura-materiale-di-ferramenta-vario-per-bacino-pratiarcati-sesta-presa-porta-trento.html"</f>
        <v>https://portaletrasparenza.consorziobacchiglione.it/dettagli/attodigara/844/fornitura-materiale-di-ferramenta-vario-per-bacino-pratiarcati-sesta-presa-porta-trento.html</v>
      </c>
      <c r="U1292" t="str">
        <f>""</f>
        <v/>
      </c>
      <c r="V129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93" spans="1:22" x14ac:dyDescent="0.3">
      <c r="A1293" t="str">
        <f>"Affidamento"</f>
        <v>Affidamento</v>
      </c>
      <c r="B1293" t="str">
        <f>"Revisione generale elettropompa E.P.1. Impianto irriguo 2 Bacino."</f>
        <v>Revisione generale elettropompa E.P.1. Impianto irriguo 2 Bacino.</v>
      </c>
      <c r="C1293" t="str">
        <f>"Z6A1BB244B"</f>
        <v>Z6A1BB244B</v>
      </c>
      <c r="D1293" t="str">
        <f>"04/11/2021"</f>
        <v>04/11/2021</v>
      </c>
      <c r="E1293" t="str">
        <f>""</f>
        <v/>
      </c>
      <c r="F1293" t="str">
        <f>""</f>
        <v/>
      </c>
      <c r="G1293" t="str">
        <f>"6980.00"</f>
        <v>6980.00</v>
      </c>
      <c r="H1293" t="str">
        <f>"Consorzio di bonifica Bacchiglione"</f>
        <v>Consorzio di bonifica Bacchiglione</v>
      </c>
      <c r="I1293" t="str">
        <f>"92223390284"</f>
        <v>92223390284</v>
      </c>
      <c r="J1293" t="str">
        <f>"23-AFFIDAMENTO DIRETTO"</f>
        <v>23-AFFIDAMENTO DIRETTO</v>
      </c>
      <c r="K1293" t="str">
        <f>"21/10/2021"</f>
        <v>21/10/2021</v>
      </c>
      <c r="L1293" t="str">
        <f>"28/04/2021"</f>
        <v>28/04/2021</v>
      </c>
      <c r="M1293" t="str">
        <f>""</f>
        <v/>
      </c>
      <c r="N1293" t="str">
        <f>"Officina Biesse S.n.c. Via Matteotti 24 35020 Arzergrande PD | Moro Meccanica S.R.L. Via Bologna 7 35035 Mestrino PD | Officine Sturaro S.R.L. Via Meucci 16 35028 Piove di Sacco PD"</f>
        <v>Officina Biesse S.n.c. Via Matteotti 24 35020 Arzergrande PD | Moro Meccanica S.R.L. Via Bologna 7 35035 Mestrino PD | Officine Sturaro S.R.L. Via Meucci 16 35028 Piove di Sacco PD</v>
      </c>
      <c r="O1293" t="str">
        <f>"Officina Biesse S.n.c. Via Matteotti 24 35020 Arzergrande PD"</f>
        <v>Officina Biesse S.n.c. Via Matteotti 24 35020 Arzergrande PD</v>
      </c>
      <c r="P1293" t="str">
        <f>"Z6A1BB244B: [6980.00€ ]"</f>
        <v>Z6A1BB244B: [6980.00€ ]</v>
      </c>
      <c r="Q1293" t="str">
        <f>""</f>
        <v/>
      </c>
      <c r="R1293" t="str">
        <f>""</f>
        <v/>
      </c>
      <c r="S1293" t="str">
        <f>""</f>
        <v/>
      </c>
      <c r="T1293" t="str">
        <f>"https://portaletrasparenza.consorziobacchiglione.it/dettagli/attodigara/846/revisione-generale-elettropompa-e-p-1-impianto-irriguo-2-bacino.html"</f>
        <v>https://portaletrasparenza.consorziobacchiglione.it/dettagli/attodigara/846/revisione-generale-elettropompa-e-p-1-impianto-irriguo-2-bacino.html</v>
      </c>
      <c r="U1293" t="str">
        <f>""</f>
        <v/>
      </c>
      <c r="V12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94" spans="1:22" x14ac:dyDescent="0.3">
      <c r="A1294" t="str">
        <f>"Affidamento"</f>
        <v>Affidamento</v>
      </c>
      <c r="B1294" t="str">
        <f>"Revisione generale elettropompa E.P.1. Impianto irriguo 3 Bacino."</f>
        <v>Revisione generale elettropompa E.P.1. Impianto irriguo 3 Bacino.</v>
      </c>
      <c r="C1294" t="str">
        <f>"Z8E1BB1D54"</f>
        <v>Z8E1BB1D54</v>
      </c>
      <c r="D1294" t="str">
        <f>"04/11/2021"</f>
        <v>04/11/2021</v>
      </c>
      <c r="E1294" t="str">
        <f>""</f>
        <v/>
      </c>
      <c r="F1294" t="str">
        <f>""</f>
        <v/>
      </c>
      <c r="G1294" t="str">
        <f>"5850.00"</f>
        <v>5850.00</v>
      </c>
      <c r="H1294" t="str">
        <f>"Consorzio di bonifica Bacchiglione"</f>
        <v>Consorzio di bonifica Bacchiglione</v>
      </c>
      <c r="I1294" t="str">
        <f>"92223390284"</f>
        <v>92223390284</v>
      </c>
      <c r="J1294" t="str">
        <f>"23-AFFIDAMENTO DIRETTO"</f>
        <v>23-AFFIDAMENTO DIRETTO</v>
      </c>
      <c r="K1294" t="str">
        <f>"21/10/2021"</f>
        <v>21/10/2021</v>
      </c>
      <c r="L1294" t="str">
        <f>"28/04/2021"</f>
        <v>28/04/2021</v>
      </c>
      <c r="M1294" t="str">
        <f>""</f>
        <v/>
      </c>
      <c r="N1294" t="str">
        <f>"Officina Biesse S.n.c. Via Matteotti 24 35020 Arzergrande PD | Moro Meccanica S.R.L. Via Bologna 7 35035 Mestrino PD | Officine Sturaro S.R.L. Via Meucci 16 35028 Piove di Sacco PD"</f>
        <v>Officina Biesse S.n.c. Via Matteotti 24 35020 Arzergrande PD | Moro Meccanica S.R.L. Via Bologna 7 35035 Mestrino PD | Officine Sturaro S.R.L. Via Meucci 16 35028 Piove di Sacco PD</v>
      </c>
      <c r="O1294" t="str">
        <f>"Officina Biesse S.n.c. Via Matteotti 24 35020 Arzergrande PD"</f>
        <v>Officina Biesse S.n.c. Via Matteotti 24 35020 Arzergrande PD</v>
      </c>
      <c r="P1294" t="str">
        <f>"Z8E1BB1D54: [5850.00€ ]"</f>
        <v>Z8E1BB1D54: [5850.00€ ]</v>
      </c>
      <c r="Q1294" t="str">
        <f>""</f>
        <v/>
      </c>
      <c r="R1294" t="str">
        <f>""</f>
        <v/>
      </c>
      <c r="S1294" t="str">
        <f>""</f>
        <v/>
      </c>
      <c r="T1294" t="str">
        <f>"https://portaletrasparenza.consorziobacchiglione.it/dettagli/attodigara/845/revisione-generale-elettropompa-e-p-1-impianto-irriguo-3-bacino.html"</f>
        <v>https://portaletrasparenza.consorziobacchiglione.it/dettagli/attodigara/845/revisione-generale-elettropompa-e-p-1-impianto-irriguo-3-bacino.html</v>
      </c>
      <c r="U1294" t="str">
        <f>""</f>
        <v/>
      </c>
      <c r="V129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95" spans="1:22" x14ac:dyDescent="0.3">
      <c r="A1295" t="str">
        <f>"Affidamento"</f>
        <v>Affidamento</v>
      </c>
      <c r="B1295" t="str">
        <f>"Affidamento servizio di ritiro e fornitura scatole con etichette per archivio cons.le."</f>
        <v>Affidamento servizio di ritiro e fornitura scatole con etichette per archivio cons.le.</v>
      </c>
      <c r="C1295" t="str">
        <f>"Z791BAEF78"</f>
        <v>Z791BAEF78</v>
      </c>
      <c r="D1295" t="str">
        <f>"04/11/2021"</f>
        <v>04/11/2021</v>
      </c>
      <c r="E1295" t="str">
        <f>""</f>
        <v/>
      </c>
      <c r="F1295" t="str">
        <f>""</f>
        <v/>
      </c>
      <c r="G1295" t="str">
        <f>"248.00"</f>
        <v>248.00</v>
      </c>
      <c r="H1295" t="str">
        <f>"Consorzio di bonifica Bacchiglione"</f>
        <v>Consorzio di bonifica Bacchiglione</v>
      </c>
      <c r="I1295" t="str">
        <f>"92223390284"</f>
        <v>92223390284</v>
      </c>
      <c r="J1295" t="str">
        <f>"23-AFFIDAMENTO DIRETTO"</f>
        <v>23-AFFIDAMENTO DIRETTO</v>
      </c>
      <c r="K1295" t="str">
        <f>"21/10/2021"</f>
        <v>21/10/2021</v>
      </c>
      <c r="L1295" t="str">
        <f>"22/02/2021"</f>
        <v>22/02/2021</v>
      </c>
      <c r="M1295" t="str">
        <f>""</f>
        <v/>
      </c>
      <c r="N1295" t="str">
        <f>"FDM S.R.L."</f>
        <v>FDM S.R.L.</v>
      </c>
      <c r="O1295" t="str">
        <f>"FDM S.R.L."</f>
        <v>FDM S.R.L.</v>
      </c>
      <c r="P1295" t="str">
        <f>"Z791BAEF78: [248.00€ ]"</f>
        <v>Z791BAEF78: [248.00€ ]</v>
      </c>
      <c r="Q1295" t="str">
        <f>""</f>
        <v/>
      </c>
      <c r="R1295" t="str">
        <f>""</f>
        <v/>
      </c>
      <c r="S1295" t="str">
        <f>""</f>
        <v/>
      </c>
      <c r="T1295" t="str">
        <f>"https://portaletrasparenza.consorziobacchiglione.it/dettagli/attodigara/839/affidamento-servizio-di-ritiro-e-fornitura-scatole-con-etichette-per-archivio-cons-le.html"</f>
        <v>https://portaletrasparenza.consorziobacchiglione.it/dettagli/attodigara/839/affidamento-servizio-di-ritiro-e-fornitura-scatole-con-etichette-per-archivio-cons-le.html</v>
      </c>
      <c r="U1295" t="str">
        <f>""</f>
        <v/>
      </c>
      <c r="V129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296" spans="1:22" x14ac:dyDescent="0.3">
      <c r="A1296" t="str">
        <f>"Affidamento"</f>
        <v>Affidamento</v>
      </c>
      <c r="B1296" t="str">
        <f>"Fornitura n 1 fusto olio minerale , n 2 secchi Sae 90, n 2 secchi antifreeze per mezzi Bacino Pratiarcati."</f>
        <v>Fornitura n 1 fusto olio minerale , n 2 secchi Sae 90, n 2 secchi antifreeze per mezzi Bacino Pratiarcati.</v>
      </c>
      <c r="C1296" t="str">
        <f>"Z8A1BB1468"</f>
        <v>Z8A1BB1468</v>
      </c>
      <c r="D1296" t="str">
        <f>"04/11/2021"</f>
        <v>04/11/2021</v>
      </c>
      <c r="E1296" t="str">
        <f>""</f>
        <v/>
      </c>
      <c r="F1296" t="str">
        <f>""</f>
        <v/>
      </c>
      <c r="G1296" t="str">
        <f>"905.61"</f>
        <v>905.61</v>
      </c>
      <c r="H1296" t="str">
        <f>"Consorzio di bonifica Bacchiglione"</f>
        <v>Consorzio di bonifica Bacchiglione</v>
      </c>
      <c r="I1296" t="str">
        <f>"92223390284"</f>
        <v>92223390284</v>
      </c>
      <c r="J1296" t="str">
        <f>"23-AFFIDAMENTO DIRETTO"</f>
        <v>23-AFFIDAMENTO DIRETTO</v>
      </c>
      <c r="K1296" t="str">
        <f>"21/10/2021"</f>
        <v>21/10/2021</v>
      </c>
      <c r="L1296" t="str">
        <f>"03/01/2021"</f>
        <v>03/01/2021</v>
      </c>
      <c r="M1296" t="str">
        <f>""</f>
        <v/>
      </c>
      <c r="N1296" t="str">
        <f>"Dimel s.a.s. di Donado Luca e C. Via Unità d'Italia 12 35020 Brugine PD"</f>
        <v>Dimel s.a.s. di Donado Luca e C. Via Unità d'Italia 12 35020 Brugine PD</v>
      </c>
      <c r="O1296" t="str">
        <f>"Dimel s.a.s. di Donado Luca e C. Via Unità d'Italia 12 35020 Brugine PD"</f>
        <v>Dimel s.a.s. di Donado Luca e C. Via Unità d'Italia 12 35020 Brugine PD</v>
      </c>
      <c r="P1296" t="str">
        <f>"Z8A1BB1468: [905.59€ ]"</f>
        <v>Z8A1BB1468: [905.59€ ]</v>
      </c>
      <c r="Q1296" t="str">
        <f>""</f>
        <v/>
      </c>
      <c r="R1296" t="str">
        <f>""</f>
        <v/>
      </c>
      <c r="S1296" t="str">
        <f>""</f>
        <v/>
      </c>
      <c r="T1296" t="str">
        <f>"https://portaletrasparenza.consorziobacchiglione.it/dettagli/attodigara/842/fornitura-n-1-fusto-olio-minerale-n-2-secchi-sae-90-n-2-secchi-antifreeze-per-mezzi-bacino-pratiarcati.html"</f>
        <v>https://portaletrasparenza.consorziobacchiglione.it/dettagli/attodigara/842/fornitura-n-1-fusto-olio-minerale-n-2-secchi-sae-90-n-2-secchi-antifreeze-per-mezzi-bacino-pratiarcati.html</v>
      </c>
      <c r="U1296" t="str">
        <f>""</f>
        <v/>
      </c>
      <c r="V1296">
        <f>(SUBSTITUTE(Tabella1[[#This Row],[Importo di aggiudicazione]],".",","))-(SUBSTITUTE(  SUBSTITUTE(          SUBSTITUTE(Tabella1[[#This Row],[Dettaglio somme liquidate]],Tabella1[[#This Row],[CIG]]&amp;": [",""),"€ ]",""),".",","))</f>
        <v>1.999999999998181E-2</v>
      </c>
    </row>
    <row r="1297" spans="1:22" x14ac:dyDescent="0.3">
      <c r="A1297" t="str">
        <f>"Affidamento"</f>
        <v>Affidamento</v>
      </c>
      <c r="B1297" t="str">
        <f>"Fornitura materiale elettrico per Bacino Sesta Presa."</f>
        <v>Fornitura materiale elettrico per Bacino Sesta Presa.</v>
      </c>
      <c r="C1297" t="str">
        <f>"Z971BB110C"</f>
        <v>Z971BB110C</v>
      </c>
      <c r="D1297" t="str">
        <f>"04/11/2021"</f>
        <v>04/11/2021</v>
      </c>
      <c r="E1297" t="str">
        <f>""</f>
        <v/>
      </c>
      <c r="F1297" t="str">
        <f>""</f>
        <v/>
      </c>
      <c r="G1297" t="str">
        <f>"1982.48"</f>
        <v>1982.48</v>
      </c>
      <c r="H1297" t="str">
        <f>"Consorzio di bonifica Bacchiglione"</f>
        <v>Consorzio di bonifica Bacchiglione</v>
      </c>
      <c r="I1297" t="str">
        <f>"92223390284"</f>
        <v>92223390284</v>
      </c>
      <c r="J1297" t="str">
        <f>"23-AFFIDAMENTO DIRETTO"</f>
        <v>23-AFFIDAMENTO DIRETTO</v>
      </c>
      <c r="K1297" t="str">
        <f>"21/10/2021"</f>
        <v>21/10/2021</v>
      </c>
      <c r="L1297" t="str">
        <f>"31/12/2021"</f>
        <v>31/12/2021</v>
      </c>
      <c r="M1297" t="str">
        <f>""</f>
        <v/>
      </c>
      <c r="N1297" t="str">
        <f>"Elettroveneta S.p.A. Viale della Navigazione Interna, 48 - 35129 Padova (PD)"</f>
        <v>Elettroveneta S.p.A. Viale della Navigazione Interna, 48 - 35129 Padova (PD)</v>
      </c>
      <c r="O1297" t="str">
        <f>"Elettroveneta S.p.A. Viale della Navigazione Interna, 48 - 35129 Padova (PD)"</f>
        <v>Elettroveneta S.p.A. Viale della Navigazione Interna, 48 - 35129 Padova (PD)</v>
      </c>
      <c r="P1297" t="str">
        <f>"Z971BB110C: [1979.48€ ]"</f>
        <v>Z971BB110C: [1979.48€ ]</v>
      </c>
      <c r="Q1297" t="str">
        <f>""</f>
        <v/>
      </c>
      <c r="R1297" t="str">
        <f>""</f>
        <v/>
      </c>
      <c r="S1297" t="str">
        <f>""</f>
        <v/>
      </c>
      <c r="T1297" t="str">
        <f>"https://portaletrasparenza.consorziobacchiglione.it/dettagli/attodigara/841/fornitura-materiale-elettrico-per-bacino-sesta-presa.html"</f>
        <v>https://portaletrasparenza.consorziobacchiglione.it/dettagli/attodigara/841/fornitura-materiale-elettrico-per-bacino-sesta-presa.html</v>
      </c>
      <c r="U1297" t="str">
        <f>""</f>
        <v/>
      </c>
      <c r="V1297">
        <f>(SUBSTITUTE(Tabella1[[#This Row],[Importo di aggiudicazione]],".",","))-(SUBSTITUTE(  SUBSTITUTE(          SUBSTITUTE(Tabella1[[#This Row],[Dettaglio somme liquidate]],Tabella1[[#This Row],[CIG]]&amp;": [",""),"€ ]",""),".",","))</f>
        <v>3</v>
      </c>
    </row>
    <row r="1298" spans="1:22" x14ac:dyDescent="0.3">
      <c r="A1298" t="str">
        <f>"Affidamento"</f>
        <v>Affidamento</v>
      </c>
      <c r="B1298" t="str">
        <f>"Collaudo n 3 serbatoi porta carburante C.O.S.Margherita."</f>
        <v>Collaudo n 3 serbatoi porta carburante C.O.S.Margherita.</v>
      </c>
      <c r="C1298" t="str">
        <f>"ZC01BB0F5A"</f>
        <v>ZC01BB0F5A</v>
      </c>
      <c r="D1298" t="str">
        <f>"04/11/2021"</f>
        <v>04/11/2021</v>
      </c>
      <c r="E1298" t="str">
        <f>""</f>
        <v/>
      </c>
      <c r="F1298" t="str">
        <f>""</f>
        <v/>
      </c>
      <c r="G1298" t="str">
        <f>"602.00"</f>
        <v>602.00</v>
      </c>
      <c r="H1298" t="str">
        <f>"Consorzio di bonifica Bacchiglione"</f>
        <v>Consorzio di bonifica Bacchiglione</v>
      </c>
      <c r="I1298" t="str">
        <f>"92223390284"</f>
        <v>92223390284</v>
      </c>
      <c r="J1298" t="str">
        <f>"23-AFFIDAMENTO DIRETTO"</f>
        <v>23-AFFIDAMENTO DIRETTO</v>
      </c>
      <c r="K1298" t="str">
        <f>"21/10/2021"</f>
        <v>21/10/2021</v>
      </c>
      <c r="L1298" t="str">
        <f>"03/01/2021"</f>
        <v>03/01/2021</v>
      </c>
      <c r="M1298" t="str">
        <f>""</f>
        <v/>
      </c>
      <c r="N1298" t="str">
        <f>"Emiliana Serbatoi Via Largo Maestri del Lavoro 40 41011 Campogalliano MO"</f>
        <v>Emiliana Serbatoi Via Largo Maestri del Lavoro 40 41011 Campogalliano MO</v>
      </c>
      <c r="O1298" t="str">
        <f>"Emiliana Serbatoi Via Largo Maestri del Lavoro 40 41011 Campogalliano MO"</f>
        <v>Emiliana Serbatoi Via Largo Maestri del Lavoro 40 41011 Campogalliano MO</v>
      </c>
      <c r="P1298" t="str">
        <f>"ZC01BB0F5A: [510.00€ ]"</f>
        <v>ZC01BB0F5A: [510.00€ ]</v>
      </c>
      <c r="Q1298" t="str">
        <f>""</f>
        <v/>
      </c>
      <c r="R1298" t="str">
        <f>""</f>
        <v/>
      </c>
      <c r="S1298" t="str">
        <f>""</f>
        <v/>
      </c>
      <c r="T1298" t="str">
        <f>"https://portaletrasparenza.consorziobacchiglione.it/dettagli/attodigara/840/collaudo-n-3-serbatoi-porta-carburante-c-o-s-margherita.html"</f>
        <v>https://portaletrasparenza.consorziobacchiglione.it/dettagli/attodigara/840/collaudo-n-3-serbatoi-porta-carburante-c-o-s-margherita.html</v>
      </c>
      <c r="U1298" t="str">
        <f>""</f>
        <v/>
      </c>
      <c r="V1298">
        <f>(SUBSTITUTE(Tabella1[[#This Row],[Importo di aggiudicazione]],".",","))-(SUBSTITUTE(  SUBSTITUTE(          SUBSTITUTE(Tabella1[[#This Row],[Dettaglio somme liquidate]],Tabella1[[#This Row],[CIG]]&amp;": [",""),"€ ]",""),".",","))</f>
        <v>92</v>
      </c>
    </row>
    <row r="1299" spans="1:22" x14ac:dyDescent="0.3">
      <c r="A1299" t="str">
        <f>"Affidamento"</f>
        <v>Affidamento</v>
      </c>
      <c r="B1299" t="str">
        <f>"Fornitura 2500 litri di GPL per sito museale C.O.S.Margherita"</f>
        <v>Fornitura 2500 litri di GPL per sito museale C.O.S.Margherita</v>
      </c>
      <c r="C1299" t="str">
        <f>"ZB933901A7"</f>
        <v>ZB933901A7</v>
      </c>
      <c r="D1299" t="str">
        <f>"22/10/2021"</f>
        <v>22/10/2021</v>
      </c>
      <c r="E1299" t="str">
        <f>""</f>
        <v/>
      </c>
      <c r="F1299" t="str">
        <f>""</f>
        <v/>
      </c>
      <c r="G1299" t="str">
        <f>"2125.00"</f>
        <v>2125.00</v>
      </c>
      <c r="H1299" t="str">
        <f>"Consorzio di bonifica Bacchiglione"</f>
        <v>Consorzio di bonifica Bacchiglione</v>
      </c>
      <c r="I1299" t="str">
        <f>"92223390284"</f>
        <v>92223390284</v>
      </c>
      <c r="J1299" t="str">
        <f>"23-AFFIDAMENTO DIRETTO"</f>
        <v>23-AFFIDAMENTO DIRETTO</v>
      </c>
      <c r="K1299" t="str">
        <f>"21/10/2021"</f>
        <v>21/10/2021</v>
      </c>
      <c r="L1299" t="str">
        <f>"18/11/2021"</f>
        <v>18/11/2021</v>
      </c>
      <c r="M1299" t="str">
        <f>""</f>
        <v/>
      </c>
      <c r="N1299" t="str">
        <f>"Loro F.lli S.p.A. Via Circonvallazione 95 36045 Lonigo VI"</f>
        <v>Loro F.lli S.p.A. Via Circonvallazione 95 36045 Lonigo VI</v>
      </c>
      <c r="O1299" t="str">
        <f>"Loro F.lli S.p.A. Via Circonvallazione 95 36045 Lonigo VI"</f>
        <v>Loro F.lli S.p.A. Via Circonvallazione 95 36045 Lonigo VI</v>
      </c>
      <c r="P1299" t="s">
        <v>307</v>
      </c>
      <c r="Q1299" t="str">
        <f>""</f>
        <v/>
      </c>
      <c r="R1299" t="str">
        <f>""</f>
        <v/>
      </c>
      <c r="S1299" t="str">
        <f>""</f>
        <v/>
      </c>
      <c r="T1299" t="str">
        <f>"https://portaletrasparenza.consorziobacchiglione.it/dettagli/attodigara/7224/fornitura-2500-litri-di-gpl-per-sito-museale-c-o-s-margherita.html"</f>
        <v>https://portaletrasparenza.consorziobacchiglione.it/dettagli/attodigara/7224/fornitura-2500-litri-di-gpl-per-sito-museale-c-o-s-margherita.html</v>
      </c>
      <c r="U1299" t="str">
        <f>"https://portaletrasparenza.consorziobacchiglione.it/download/attodigara/7224/63ac45dd6f5b9.PDF"</f>
        <v>https://portaletrasparenza.consorziobacchiglione.it/download/attodigara/7224/63ac45dd6f5b9.PDF</v>
      </c>
      <c r="V12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00" spans="1:22" x14ac:dyDescent="0.3">
      <c r="A1300" t="str">
        <f>"Affidamento"</f>
        <v>Affidamento</v>
      </c>
      <c r="B1300" t="str">
        <f>"Manutenzione e riparazione gru del mezzo targato: FT040WG"</f>
        <v>Manutenzione e riparazione gru del mezzo targato: FT040WG</v>
      </c>
      <c r="C1300" t="str">
        <f>"Z98339096D"</f>
        <v>Z98339096D</v>
      </c>
      <c r="D1300" t="str">
        <f>"22/10/2021"</f>
        <v>22/10/2021</v>
      </c>
      <c r="E1300" t="str">
        <f>""</f>
        <v/>
      </c>
      <c r="F1300" t="str">
        <f>""</f>
        <v/>
      </c>
      <c r="G1300" t="str">
        <f>"321.00"</f>
        <v>321.00</v>
      </c>
      <c r="H1300" t="str">
        <f>"Consorzio di bonifica Bacchiglione"</f>
        <v>Consorzio di bonifica Bacchiglione</v>
      </c>
      <c r="I1300" t="str">
        <f>"92223390284"</f>
        <v>92223390284</v>
      </c>
      <c r="J1300" t="str">
        <f>"23-AFFIDAMENTO DIRETTO"</f>
        <v>23-AFFIDAMENTO DIRETTO</v>
      </c>
      <c r="K1300" t="str">
        <f>"21/10/2021"</f>
        <v>21/10/2021</v>
      </c>
      <c r="L1300" t="str">
        <f>"02/11/2021"</f>
        <v>02/11/2021</v>
      </c>
      <c r="M1300" t="str">
        <f>""</f>
        <v/>
      </c>
      <c r="N1300" t="str">
        <f>"Moressa s.r.l. Via Cuccara 2 35020 Due Carrare PD"</f>
        <v>Moressa s.r.l. Via Cuccara 2 35020 Due Carrare PD</v>
      </c>
      <c r="O1300" t="str">
        <f>"Moressa s.r.l. Via Cuccara 2 35020 Due Carrare PD"</f>
        <v>Moressa s.r.l. Via Cuccara 2 35020 Due Carrare PD</v>
      </c>
      <c r="P1300" t="str">
        <f>"Z98339096D: [321.00€ ]"</f>
        <v>Z98339096D: [321.00€ ]</v>
      </c>
      <c r="Q1300" t="str">
        <f>""</f>
        <v/>
      </c>
      <c r="R1300" t="str">
        <f>""</f>
        <v/>
      </c>
      <c r="S1300" t="str">
        <f>""</f>
        <v/>
      </c>
      <c r="T1300" t="str">
        <f>"https://portaletrasparenza.consorziobacchiglione.it/dettagli/attodigara/7225/manutenzione-e-riparazione-gru-del-mezzo-targato-ft040wg.html"</f>
        <v>https://portaletrasparenza.consorziobacchiglione.it/dettagli/attodigara/7225/manutenzione-e-riparazione-gru-del-mezzo-targato-ft040wg.html</v>
      </c>
      <c r="U1300" t="str">
        <f>"https://portaletrasparenza.consorziobacchiglione.it/download/attodigara/7225/63ac45dda9029.PDF"</f>
        <v>https://portaletrasparenza.consorziobacchiglione.it/download/attodigara/7225/63ac45dda9029.PDF</v>
      </c>
      <c r="V13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01" spans="1:22" x14ac:dyDescent="0.3">
      <c r="A1301" t="str">
        <f>"Affidamento"</f>
        <v>Affidamento</v>
      </c>
      <c r="B1301" t="str">
        <f>"Controllo semestrale gru con rilascio scheda del mezzo targato: CT189YR"</f>
        <v>Controllo semestrale gru con rilascio scheda del mezzo targato: CT189YR</v>
      </c>
      <c r="C1301" t="str">
        <f>"Z11338FD8D"</f>
        <v>Z11338FD8D</v>
      </c>
      <c r="D1301" t="str">
        <f>"22/10/2021"</f>
        <v>22/10/2021</v>
      </c>
      <c r="E1301" t="str">
        <f>""</f>
        <v/>
      </c>
      <c r="F1301" t="str">
        <f>""</f>
        <v/>
      </c>
      <c r="G1301" t="str">
        <f>"240.00"</f>
        <v>240.00</v>
      </c>
      <c r="H1301" t="str">
        <f>"Consorzio di bonifica Bacchiglione"</f>
        <v>Consorzio di bonifica Bacchiglione</v>
      </c>
      <c r="I1301" t="str">
        <f>"92223390284"</f>
        <v>92223390284</v>
      </c>
      <c r="J1301" t="str">
        <f>"23-AFFIDAMENTO DIRETTO"</f>
        <v>23-AFFIDAMENTO DIRETTO</v>
      </c>
      <c r="K1301" t="str">
        <f>"21/10/2021"</f>
        <v>21/10/2021</v>
      </c>
      <c r="L1301" t="str">
        <f>"02/11/2021"</f>
        <v>02/11/2021</v>
      </c>
      <c r="M1301" t="str">
        <f>""</f>
        <v/>
      </c>
      <c r="N1301" t="str">
        <f>"Moressa s.r.l. Via Cuccara 2 35020 Due Carrare PD"</f>
        <v>Moressa s.r.l. Via Cuccara 2 35020 Due Carrare PD</v>
      </c>
      <c r="O1301" t="str">
        <f>"Moressa s.r.l. Via Cuccara 2 35020 Due Carrare PD"</f>
        <v>Moressa s.r.l. Via Cuccara 2 35020 Due Carrare PD</v>
      </c>
      <c r="P1301" t="str">
        <f>"Z11338FD8D: [240.00€ ]"</f>
        <v>Z11338FD8D: [240.00€ ]</v>
      </c>
      <c r="Q1301" t="str">
        <f>""</f>
        <v/>
      </c>
      <c r="R1301" t="str">
        <f>""</f>
        <v/>
      </c>
      <c r="S1301" t="str">
        <f>""</f>
        <v/>
      </c>
      <c r="T1301" t="str">
        <f>"https://portaletrasparenza.consorziobacchiglione.it/dettagli/attodigara/7223/controllo-semestrale-gru-con-rilascio-scheda-del-mezzo-targato-ct189yr.html"</f>
        <v>https://portaletrasparenza.consorziobacchiglione.it/dettagli/attodigara/7223/controllo-semestrale-gru-con-rilascio-scheda-del-mezzo-targato-ct189yr.html</v>
      </c>
      <c r="U1301" t="str">
        <f>"https://portaletrasparenza.consorziobacchiglione.it/download/attodigara/7223/63ac45dd366ba.PDF"</f>
        <v>https://portaletrasparenza.consorziobacchiglione.it/download/attodigara/7223/63ac45dd366ba.PDF</v>
      </c>
      <c r="V130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02" spans="1:22" x14ac:dyDescent="0.3">
      <c r="A1302" t="str">
        <f>"Affidamento"</f>
        <v>Affidamento</v>
      </c>
      <c r="B1302" t="str">
        <f>"Lavoro di rimozione rete esistente con sostituzione rete metallica elettrosaldata Idrovora Limenella Fossetta."</f>
        <v>Lavoro di rimozione rete esistente con sostituzione rete metallica elettrosaldata Idrovora Limenella Fossetta.</v>
      </c>
      <c r="C1302" t="str">
        <f>"Z2F1C1E1B4"</f>
        <v>Z2F1C1E1B4</v>
      </c>
      <c r="D1302" t="str">
        <f>"04/11/2021"</f>
        <v>04/11/2021</v>
      </c>
      <c r="E1302" t="str">
        <f>""</f>
        <v/>
      </c>
      <c r="F1302" t="str">
        <f>""</f>
        <v/>
      </c>
      <c r="G1302" t="str">
        <f>"3500.00"</f>
        <v>3500.00</v>
      </c>
      <c r="H1302" t="str">
        <f>"Consorzio di bonifica Bacchiglione"</f>
        <v>Consorzio di bonifica Bacchiglione</v>
      </c>
      <c r="I1302" t="str">
        <f>"92223390284"</f>
        <v>92223390284</v>
      </c>
      <c r="J1302" t="str">
        <f>"23-AFFIDAMENTO DIRETTO"</f>
        <v>23-AFFIDAMENTO DIRETTO</v>
      </c>
      <c r="K1302" t="str">
        <f>"21/11/2021"</f>
        <v>21/11/2021</v>
      </c>
      <c r="L1302" t="str">
        <f>"09/01/2021"</f>
        <v>09/01/2021</v>
      </c>
      <c r="M1302" t="str">
        <f>""</f>
        <v/>
      </c>
      <c r="N1302" t="str">
        <f>"Convento Claudio Via III^ Strada 3 Z.A. 30010 Campolongo Maggiore VE"</f>
        <v>Convento Claudio Via III^ Strada 3 Z.A. 30010 Campolongo Maggiore VE</v>
      </c>
      <c r="O1302" t="str">
        <f>"Convento Claudio Via III^ Strada 3 Z.A. 30010 Campolongo Maggiore VE"</f>
        <v>Convento Claudio Via III^ Strada 3 Z.A. 30010 Campolongo Maggiore VE</v>
      </c>
      <c r="P1302" t="str">
        <f>"Z2F1C1E1B4: [3500.00€ ]"</f>
        <v>Z2F1C1E1B4: [3500.00€ ]</v>
      </c>
      <c r="Q1302" t="str">
        <f>""</f>
        <v/>
      </c>
      <c r="R1302" t="str">
        <f>""</f>
        <v/>
      </c>
      <c r="S1302" t="str">
        <f>""</f>
        <v/>
      </c>
      <c r="T1302" t="str">
        <f>"https://portaletrasparenza.consorziobacchiglione.it/dettagli/attodigara/935/lavoro-di-rimozione-rete-esistente-con-sostituzione-rete-metallica-elettrosaldata-idrovora-limenella-fossetta.html"</f>
        <v>https://portaletrasparenza.consorziobacchiglione.it/dettagli/attodigara/935/lavoro-di-rimozione-rete-esistente-con-sostituzione-rete-metallica-elettrosaldata-idrovora-limenella-fossetta.html</v>
      </c>
      <c r="U1302" t="str">
        <f>""</f>
        <v/>
      </c>
      <c r="V13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03" spans="1:22" x14ac:dyDescent="0.3">
      <c r="A1303" t="str">
        <f>"Affidamento"</f>
        <v>Affidamento</v>
      </c>
      <c r="B1303" t="str">
        <f>"Manutenzione e riparazione mezzo con targa: AGK711"</f>
        <v>Manutenzione e riparazione mezzo con targa: AGK711</v>
      </c>
      <c r="C1303" t="str">
        <f>"ZDE1C1DBED"</f>
        <v>ZDE1C1DBED</v>
      </c>
      <c r="D1303" t="str">
        <f>"04/11/2021"</f>
        <v>04/11/2021</v>
      </c>
      <c r="E1303" t="str">
        <f>""</f>
        <v/>
      </c>
      <c r="F1303" t="str">
        <f>""</f>
        <v/>
      </c>
      <c r="G1303" t="str">
        <f>"1031.16"</f>
        <v>1031.16</v>
      </c>
      <c r="H1303" t="str">
        <f>"Consorzio di bonifica Bacchiglione"</f>
        <v>Consorzio di bonifica Bacchiglione</v>
      </c>
      <c r="I1303" t="str">
        <f>"92223390284"</f>
        <v>92223390284</v>
      </c>
      <c r="J1303" t="str">
        <f>"23-AFFIDAMENTO DIRETTO"</f>
        <v>23-AFFIDAMENTO DIRETTO</v>
      </c>
      <c r="K1303" t="str">
        <f>"21/11/2021"</f>
        <v>21/11/2021</v>
      </c>
      <c r="L1303" t="str">
        <f>"04/01/2021"</f>
        <v>04/01/2021</v>
      </c>
      <c r="M1303" t="str">
        <f>""</f>
        <v/>
      </c>
      <c r="N1303" t="str">
        <f>"Adriatica Commerciale Macchine s.r.l. Via dell'Artigianato 5 35020 Due Carrare PD"</f>
        <v>Adriatica Commerciale Macchine s.r.l. Via dell'Artigianato 5 35020 Due Carrare PD</v>
      </c>
      <c r="O1303" t="str">
        <f>"Adriatica Commerciale Macchine s.r.l. Via dell'Artigianato 5 35020 Due Carrare PD"</f>
        <v>Adriatica Commerciale Macchine s.r.l. Via dell'Artigianato 5 35020 Due Carrare PD</v>
      </c>
      <c r="P1303" t="str">
        <f>"ZDE1C1DBED: [1031.16€ ]"</f>
        <v>ZDE1C1DBED: [1031.16€ ]</v>
      </c>
      <c r="Q1303" t="str">
        <f>""</f>
        <v/>
      </c>
      <c r="R1303" t="str">
        <f>""</f>
        <v/>
      </c>
      <c r="S1303" t="str">
        <f>""</f>
        <v/>
      </c>
      <c r="T1303" t="str">
        <f>"https://portaletrasparenza.consorziobacchiglione.it/dettagli/attodigara/934/manutenzione-e-riparazione-mezzo-con-targa-agk711.html"</f>
        <v>https://portaletrasparenza.consorziobacchiglione.it/dettagli/attodigara/934/manutenzione-e-riparazione-mezzo-con-targa-agk711.html</v>
      </c>
      <c r="U1303" t="str">
        <f>""</f>
        <v/>
      </c>
      <c r="V13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04" spans="1:22" x14ac:dyDescent="0.3">
      <c r="A1304" t="str">
        <f>"Affidamento"</f>
        <v>Affidamento</v>
      </c>
      <c r="B1304" t="str">
        <f>"Fornitura ricambi per motosega Sthil C.O.Bovolenta."</f>
        <v>Fornitura ricambi per motosega Sthil C.O.Bovolenta.</v>
      </c>
      <c r="C1304" t="str">
        <f>"ZBA1C1DA11"</f>
        <v>ZBA1C1DA11</v>
      </c>
      <c r="D1304" t="str">
        <f>"04/11/2021"</f>
        <v>04/11/2021</v>
      </c>
      <c r="E1304" t="str">
        <f>""</f>
        <v/>
      </c>
      <c r="F1304" t="str">
        <f>""</f>
        <v/>
      </c>
      <c r="G1304" t="str">
        <f>"40.98"</f>
        <v>40.98</v>
      </c>
      <c r="H1304" t="str">
        <f>"Consorzio di bonifica Bacchiglione"</f>
        <v>Consorzio di bonifica Bacchiglione</v>
      </c>
      <c r="I1304" t="str">
        <f>"92223390284"</f>
        <v>92223390284</v>
      </c>
      <c r="J1304" t="str">
        <f>"23-AFFIDAMENTO DIRETTO"</f>
        <v>23-AFFIDAMENTO DIRETTO</v>
      </c>
      <c r="K1304" t="str">
        <f>"21/11/2021"</f>
        <v>21/11/2021</v>
      </c>
      <c r="L1304" t="str">
        <f>"04/01/2021"</f>
        <v>04/01/2021</v>
      </c>
      <c r="M1304" t="str">
        <f>""</f>
        <v/>
      </c>
      <c r="N1304" t="str">
        <f>"Mini Motor di Vettorato Gabriele Via Puccini 3 35020 Brugine PD"</f>
        <v>Mini Motor di Vettorato Gabriele Via Puccini 3 35020 Brugine PD</v>
      </c>
      <c r="O1304" t="str">
        <f>"Mini Motor di Vettorato Gabriele Via Puccini 3 35020 Brugine PD"</f>
        <v>Mini Motor di Vettorato Gabriele Via Puccini 3 35020 Brugine PD</v>
      </c>
      <c r="P1304" t="str">
        <f>"ZBA1C1DA11: [40.98€ ]"</f>
        <v>ZBA1C1DA11: [40.98€ ]</v>
      </c>
      <c r="Q1304" t="str">
        <f>""</f>
        <v/>
      </c>
      <c r="R1304" t="str">
        <f>""</f>
        <v/>
      </c>
      <c r="S1304" t="str">
        <f>""</f>
        <v/>
      </c>
      <c r="T1304" t="str">
        <f>"https://portaletrasparenza.consorziobacchiglione.it/dettagli/attodigara/933/fornitura-ricambi-per-motosega-sthil-c-o-bovolenta.html"</f>
        <v>https://portaletrasparenza.consorziobacchiglione.it/dettagli/attodigara/933/fornitura-ricambi-per-motosega-sthil-c-o-bovolenta.html</v>
      </c>
      <c r="U1304" t="str">
        <f>""</f>
        <v/>
      </c>
      <c r="V13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05" spans="1:22" x14ac:dyDescent="0.3">
      <c r="A1305" t="str">
        <f>"Affidamento"</f>
        <v>Affidamento</v>
      </c>
      <c r="B1305" t="str">
        <f>"Fornitura olio per riduttore Pompa E.P.2 Idrovora S.Margherita"</f>
        <v>Fornitura olio per riduttore Pompa E.P.2 Idrovora S.Margherita</v>
      </c>
      <c r="C1305" t="str">
        <f>"Z7F1C1D3F8"</f>
        <v>Z7F1C1D3F8</v>
      </c>
      <c r="D1305" t="str">
        <f>"04/11/2021"</f>
        <v>04/11/2021</v>
      </c>
      <c r="E1305" t="str">
        <f>""</f>
        <v/>
      </c>
      <c r="F1305" t="str">
        <f>""</f>
        <v/>
      </c>
      <c r="G1305" t="str">
        <f>"900.00"</f>
        <v>900.00</v>
      </c>
      <c r="H1305" t="str">
        <f>"Consorzio di bonifica Bacchiglione"</f>
        <v>Consorzio di bonifica Bacchiglione</v>
      </c>
      <c r="I1305" t="str">
        <f>"92223390284"</f>
        <v>92223390284</v>
      </c>
      <c r="J1305" t="str">
        <f>"23-AFFIDAMENTO DIRETTO"</f>
        <v>23-AFFIDAMENTO DIRETTO</v>
      </c>
      <c r="K1305" t="str">
        <f>"21/11/2021"</f>
        <v>21/11/2021</v>
      </c>
      <c r="L1305" t="str">
        <f>"10/01/2021"</f>
        <v>10/01/2021</v>
      </c>
      <c r="M1305" t="str">
        <f>""</f>
        <v/>
      </c>
      <c r="N1305" t="str">
        <f>"Geremia lubrificanti S.r.l. Via Uruguay 11 Z.I. 35127 Padova"</f>
        <v>Geremia lubrificanti S.r.l. Via Uruguay 11 Z.I. 35127 Padova</v>
      </c>
      <c r="O1305" t="str">
        <f>"Geremia lubrificanti S.r.l. Via Uruguay 11 Z.I. 35127 Padova"</f>
        <v>Geremia lubrificanti S.r.l. Via Uruguay 11 Z.I. 35127 Padova</v>
      </c>
      <c r="P1305" t="str">
        <f>"Z7F1C1D3F8: [900.00€ ]"</f>
        <v>Z7F1C1D3F8: [900.00€ ]</v>
      </c>
      <c r="Q1305" t="str">
        <f>""</f>
        <v/>
      </c>
      <c r="R1305" t="str">
        <f>""</f>
        <v/>
      </c>
      <c r="S1305" t="str">
        <f>""</f>
        <v/>
      </c>
      <c r="T1305" t="str">
        <f>"https://portaletrasparenza.consorziobacchiglione.it/dettagli/attodigara/931/fornitura-olio-per-riduttore-pompa-e-p-2-idrovora-s-margherita.html"</f>
        <v>https://portaletrasparenza.consorziobacchiglione.it/dettagli/attodigara/931/fornitura-olio-per-riduttore-pompa-e-p-2-idrovora-s-margherita.html</v>
      </c>
      <c r="U1305" t="str">
        <f>""</f>
        <v/>
      </c>
      <c r="V130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06" spans="1:22" x14ac:dyDescent="0.3">
      <c r="A1306" t="str">
        <f>"Affidamento"</f>
        <v>Affidamento</v>
      </c>
      <c r="B1306" t="str">
        <f>"Revisione e potenziamento gruppo pompa E.P.2. dell'Idrovora S.Margherita"</f>
        <v>Revisione e potenziamento gruppo pompa E.P.2. dell'Idrovora S.Margherita</v>
      </c>
      <c r="C1306" t="str">
        <f>"Z3C1C1D199"</f>
        <v>Z3C1C1D199</v>
      </c>
      <c r="D1306" t="str">
        <f>"04/11/2021"</f>
        <v>04/11/2021</v>
      </c>
      <c r="E1306" t="str">
        <f>""</f>
        <v/>
      </c>
      <c r="F1306" t="str">
        <f>""</f>
        <v/>
      </c>
      <c r="G1306" t="str">
        <f>"11450.00"</f>
        <v>11450.00</v>
      </c>
      <c r="H1306" t="str">
        <f>"Consorzio di bonifica Bacchiglione"</f>
        <v>Consorzio di bonifica Bacchiglione</v>
      </c>
      <c r="I1306" t="str">
        <f>"92223390284"</f>
        <v>92223390284</v>
      </c>
      <c r="J1306" t="str">
        <f>"23-AFFIDAMENTO DIRETTO"</f>
        <v>23-AFFIDAMENTO DIRETTO</v>
      </c>
      <c r="K1306" t="str">
        <f>"21/11/2021"</f>
        <v>21/11/2021</v>
      </c>
      <c r="L1306" t="str">
        <f>"14/12/2021"</f>
        <v>14/12/2021</v>
      </c>
      <c r="M1306" t="str">
        <f>""</f>
        <v/>
      </c>
      <c r="N1306" t="str">
        <f>"Moro Meccanica S.R.L. Via Bologna 7 35035 Mestrino PD"</f>
        <v>Moro Meccanica S.R.L. Via Bologna 7 35035 Mestrino PD</v>
      </c>
      <c r="O1306" t="str">
        <f>"Moro Meccanica S.R.L. Via Bologna 7 35035 Mestrino PD"</f>
        <v>Moro Meccanica S.R.L. Via Bologna 7 35035 Mestrino PD</v>
      </c>
      <c r="P1306" t="str">
        <f>"Z3C1C1D199: [11450.00€ ]"</f>
        <v>Z3C1C1D199: [11450.00€ ]</v>
      </c>
      <c r="Q1306" t="str">
        <f>""</f>
        <v/>
      </c>
      <c r="R1306" t="str">
        <f>""</f>
        <v/>
      </c>
      <c r="S1306" t="str">
        <f>""</f>
        <v/>
      </c>
      <c r="T1306" t="str">
        <f>"https://portaletrasparenza.consorziobacchiglione.it/dettagli/attodigara/930/revisione-e-potenziamento-gruppo-pompa-e-p-2-dell-idrovora-s-margherita.html"</f>
        <v>https://portaletrasparenza.consorziobacchiglione.it/dettagli/attodigara/930/revisione-e-potenziamento-gruppo-pompa-e-p-2-dell-idrovora-s-margherita.html</v>
      </c>
      <c r="U1306" t="str">
        <f>""</f>
        <v/>
      </c>
      <c r="V13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07" spans="1:22" x14ac:dyDescent="0.3">
      <c r="A1307" t="str">
        <f>"Affidamento"</f>
        <v>Affidamento</v>
      </c>
      <c r="B1307" t="str">
        <f>"Fornitura di un riduttore per EP2 Idrovora S.Margherita."</f>
        <v>Fornitura di un riduttore per EP2 Idrovora S.Margherita.</v>
      </c>
      <c r="C1307" t="str">
        <f>"ZAF1C1CA5B"</f>
        <v>ZAF1C1CA5B</v>
      </c>
      <c r="D1307" t="str">
        <f>"04/11/2021"</f>
        <v>04/11/2021</v>
      </c>
      <c r="E1307" t="str">
        <f>""</f>
        <v/>
      </c>
      <c r="F1307" t="str">
        <f>""</f>
        <v/>
      </c>
      <c r="G1307" t="str">
        <f>"12489.80"</f>
        <v>12489.80</v>
      </c>
      <c r="H1307" t="str">
        <f>"Consorzio di bonifica Bacchiglione"</f>
        <v>Consorzio di bonifica Bacchiglione</v>
      </c>
      <c r="I1307" t="str">
        <f>"92223390284"</f>
        <v>92223390284</v>
      </c>
      <c r="J1307" t="str">
        <f>"23-AFFIDAMENTO DIRETTO"</f>
        <v>23-AFFIDAMENTO DIRETTO</v>
      </c>
      <c r="K1307" t="str">
        <f>"21/11/2021"</f>
        <v>21/11/2021</v>
      </c>
      <c r="L1307" t="str">
        <f>"25/03/2021"</f>
        <v>25/03/2021</v>
      </c>
      <c r="M1307" t="str">
        <f>""</f>
        <v/>
      </c>
      <c r="N1307" t="str">
        <f>"Rossi S.P.A. via Emilia Ovest 915A 41123 Modena"</f>
        <v>Rossi S.P.A. via Emilia Ovest 915A 41123 Modena</v>
      </c>
      <c r="O1307" t="str">
        <f>"Rossi S.P.A. via Emilia Ovest 915A 41123 Modena"</f>
        <v>Rossi S.P.A. via Emilia Ovest 915A 41123 Modena</v>
      </c>
      <c r="P1307" t="str">
        <f>"ZAF1C1CA5B: [12489.79€ ]"</f>
        <v>ZAF1C1CA5B: [12489.79€ ]</v>
      </c>
      <c r="Q1307" t="str">
        <f>""</f>
        <v/>
      </c>
      <c r="R1307" t="str">
        <f>""</f>
        <v/>
      </c>
      <c r="S1307" t="str">
        <f>""</f>
        <v/>
      </c>
      <c r="T1307" t="str">
        <f>"https://portaletrasparenza.consorziobacchiglione.it/dettagli/attodigara/929/fornitura-di-un-riduttore-per-ep2-idrovora-s-margherita.html"</f>
        <v>https://portaletrasparenza.consorziobacchiglione.it/dettagli/attodigara/929/fornitura-di-un-riduttore-per-ep2-idrovora-s-margherita.html</v>
      </c>
      <c r="U1307" t="str">
        <f>""</f>
        <v/>
      </c>
      <c r="V1307">
        <f>(SUBSTITUTE(Tabella1[[#This Row],[Importo di aggiudicazione]],".",","))-(SUBSTITUTE(  SUBSTITUTE(          SUBSTITUTE(Tabella1[[#This Row],[Dettaglio somme liquidate]],Tabella1[[#This Row],[CIG]]&amp;": [",""),"€ ]",""),".",","))</f>
        <v>9.9999999983992893E-3</v>
      </c>
    </row>
    <row r="1308" spans="1:22" x14ac:dyDescent="0.3">
      <c r="A1308" t="str">
        <f>"Affidamento"</f>
        <v>Affidamento</v>
      </c>
      <c r="B1308" t="str">
        <f>"Fornitura pali in castagno con punta per deposito C.O.S.Margherita e Bovolenta."</f>
        <v>Fornitura pali in castagno con punta per deposito C.O.S.Margherita e Bovolenta.</v>
      </c>
      <c r="C1308" t="str">
        <f>"Z261C1D674"</f>
        <v>Z261C1D674</v>
      </c>
      <c r="D1308" t="str">
        <f>"04/11/2021"</f>
        <v>04/11/2021</v>
      </c>
      <c r="E1308" t="str">
        <f>""</f>
        <v/>
      </c>
      <c r="F1308" t="str">
        <f>""</f>
        <v/>
      </c>
      <c r="G1308" t="str">
        <f>"19600.00"</f>
        <v>19600.00</v>
      </c>
      <c r="H1308" t="str">
        <f>"Consorzio di bonifica Bacchiglione"</f>
        <v>Consorzio di bonifica Bacchiglione</v>
      </c>
      <c r="I1308" t="str">
        <f>"92223390284"</f>
        <v>92223390284</v>
      </c>
      <c r="J1308" t="str">
        <f>"23-AFFIDAMENTO DIRETTO"</f>
        <v>23-AFFIDAMENTO DIRETTO</v>
      </c>
      <c r="K1308" t="str">
        <f>"21/11/2021"</f>
        <v>21/11/2021</v>
      </c>
      <c r="L1308" t="str">
        <f>"31/12/2021"</f>
        <v>31/12/2021</v>
      </c>
      <c r="M1308" t="str">
        <f>""</f>
        <v/>
      </c>
      <c r="N1308" t="str">
        <f>"Chinucci Legnami S.r.l. Via Cassia Cimina Km. 29 01037 Ronciglione VT"</f>
        <v>Chinucci Legnami S.r.l. Via Cassia Cimina Km. 29 01037 Ronciglione VT</v>
      </c>
      <c r="O1308" t="str">
        <f>"Chinucci Legnami S.r.l. Via Cassia Cimina Km. 29 01037 Ronciglione VT"</f>
        <v>Chinucci Legnami S.r.l. Via Cassia Cimina Km. 29 01037 Ronciglione VT</v>
      </c>
      <c r="P1308" t="str">
        <f>"Z261C1D674: [19390.00€ ]"</f>
        <v>Z261C1D674: [19390.00€ ]</v>
      </c>
      <c r="Q1308" t="str">
        <f>""</f>
        <v/>
      </c>
      <c r="R1308" t="str">
        <f>""</f>
        <v/>
      </c>
      <c r="S1308" t="str">
        <f>""</f>
        <v/>
      </c>
      <c r="T1308" t="str">
        <f>"https://portaletrasparenza.consorziobacchiglione.it/dettagli/attodigara/932/fornitura-pali-in-castagno-con-punta-per-deposito-c-o-s-margherita-e-bovolenta.html"</f>
        <v>https://portaletrasparenza.consorziobacchiglione.it/dettagli/attodigara/932/fornitura-pali-in-castagno-con-punta-per-deposito-c-o-s-margherita-e-bovolenta.html</v>
      </c>
      <c r="U1308" t="str">
        <f>""</f>
        <v/>
      </c>
      <c r="V1308">
        <f>(SUBSTITUTE(Tabella1[[#This Row],[Importo di aggiudicazione]],".",","))-(SUBSTITUTE(  SUBSTITUTE(          SUBSTITUTE(Tabella1[[#This Row],[Dettaglio somme liquidate]],Tabella1[[#This Row],[CIG]]&amp;": [",""),"€ ]",""),".",","))</f>
        <v>210</v>
      </c>
    </row>
    <row r="1309" spans="1:22" x14ac:dyDescent="0.3">
      <c r="A1309" t="str">
        <f>"Affidamento"</f>
        <v>Affidamento</v>
      </c>
      <c r="B1309" t="str">
        <f>"Affidamento servizio di pulizia e sanificazione della sede cosnsorziale per l'anno 2017-2018."</f>
        <v>Affidamento servizio di pulizia e sanificazione della sede cosnsorziale per l'anno 2017-2018.</v>
      </c>
      <c r="C1309" t="str">
        <f>"Z471C50450"</f>
        <v>Z471C50450</v>
      </c>
      <c r="D1309" t="str">
        <f>"04/11/2021"</f>
        <v>04/11/2021</v>
      </c>
      <c r="E1309" t="str">
        <f>""</f>
        <v/>
      </c>
      <c r="F1309" t="str">
        <f>""</f>
        <v/>
      </c>
      <c r="G1309" t="str">
        <f>"35760.00"</f>
        <v>35760.00</v>
      </c>
      <c r="H1309" t="str">
        <f>"Consorzio di bonifica Bacchiglione"</f>
        <v>Consorzio di bonifica Bacchiglione</v>
      </c>
      <c r="I1309" t="str">
        <f>"92223390284"</f>
        <v>92223390284</v>
      </c>
      <c r="J1309" t="str">
        <f>"23-AFFIDAMENTO DIRETTO"</f>
        <v>23-AFFIDAMENTO DIRETTO</v>
      </c>
      <c r="K1309" t="str">
        <f>"21/12/2021"</f>
        <v>21/12/2021</v>
      </c>
      <c r="L1309" t="str">
        <f>"22/02/2021"</f>
        <v>22/02/2021</v>
      </c>
      <c r="M1309" t="str">
        <f>""</f>
        <v/>
      </c>
      <c r="N1309" t="str">
        <f>"LA PULITUTTO DI R. LOVO E C. S.R.L. | KING SERVICE S.R.L."</f>
        <v>LA PULITUTTO DI R. LOVO E C. S.R.L. | KING SERVICE S.R.L.</v>
      </c>
      <c r="O1309" t="str">
        <f>"KING SERVICE S.R.L."</f>
        <v>KING SERVICE S.R.L.</v>
      </c>
      <c r="P1309" t="s">
        <v>142</v>
      </c>
      <c r="Q1309" t="str">
        <f>""</f>
        <v/>
      </c>
      <c r="R1309" t="str">
        <f>""</f>
        <v/>
      </c>
      <c r="S1309" t="str">
        <f>""</f>
        <v/>
      </c>
      <c r="T1309" t="str">
        <f>"https://portaletrasparenza.consorziobacchiglione.it/dettagli/attodigara/1024/affidamento-servizio-di-pulizia-e-sanificazione-della-sede-cosnsorziale-per-l-anno-2017-2018.html"</f>
        <v>https://portaletrasparenza.consorziobacchiglione.it/dettagli/attodigara/1024/affidamento-servizio-di-pulizia-e-sanificazione-della-sede-cosnsorziale-per-l-anno-2017-2018.html</v>
      </c>
      <c r="U1309" t="str">
        <f>""</f>
        <v/>
      </c>
      <c r="V13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10" spans="1:22" x14ac:dyDescent="0.3">
      <c r="A1310" t="str">
        <f>"Affidamento"</f>
        <v>Affidamento</v>
      </c>
      <c r="B1310" t="str">
        <f>"Incarico professionale di service tecnico e di coordinatore della sicurezza in fase di progettazione (CSP) ed esecuzione (CSE)."</f>
        <v>Incarico professionale di service tecnico e di coordinatore della sicurezza in fase di progettazione (CSP) ed esecuzione (CSE).</v>
      </c>
      <c r="C1310" t="str">
        <f>"Z581CA6B6F"</f>
        <v>Z581CA6B6F</v>
      </c>
      <c r="D1310" t="str">
        <f>"04/11/2021"</f>
        <v>04/11/2021</v>
      </c>
      <c r="E1310" t="str">
        <f>""</f>
        <v/>
      </c>
      <c r="F1310" t="str">
        <f>""</f>
        <v/>
      </c>
      <c r="G1310" t="str">
        <f>"5200.00"</f>
        <v>5200.00</v>
      </c>
      <c r="H1310" t="str">
        <f>"Consorzio di bonifica Bacchiglione"</f>
        <v>Consorzio di bonifica Bacchiglione</v>
      </c>
      <c r="I1310" t="str">
        <f>"92223390284"</f>
        <v>92223390284</v>
      </c>
      <c r="J1310" t="str">
        <f>"23-AFFIDAMENTO DIRETTO"</f>
        <v>23-AFFIDAMENTO DIRETTO</v>
      </c>
      <c r="K1310" t="str">
        <f>"21/12/2021"</f>
        <v>21/12/2021</v>
      </c>
      <c r="L1310" t="str">
        <f>"06/12/2021"</f>
        <v>06/12/2021</v>
      </c>
      <c r="M1310" t="str">
        <f>""</f>
        <v/>
      </c>
      <c r="N1310" t="str">
        <f>"MATE Soc.Coop.va"</f>
        <v>MATE Soc.Coop.va</v>
      </c>
      <c r="O1310" t="str">
        <f>"MATE Soc.Coop.va"</f>
        <v>MATE Soc.Coop.va</v>
      </c>
      <c r="P1310" t="s">
        <v>235</v>
      </c>
      <c r="Q1310" t="str">
        <f>""</f>
        <v/>
      </c>
      <c r="R1310" t="str">
        <f>""</f>
        <v/>
      </c>
      <c r="S1310" t="str">
        <f>""</f>
        <v/>
      </c>
      <c r="T1310" t="str">
        <f>"https://portaletrasparenza.consorziobacchiglione.it/dettagli/attodigara/1027/incarico-professionale-di-service-tecnico-e-di-coordinatore-della-sicurezza-in-fase-di-progettazione-csp-ed-esecuzione-cse.html"</f>
        <v>https://portaletrasparenza.consorziobacchiglione.it/dettagli/attodigara/1027/incarico-professionale-di-service-tecnico-e-di-coordinatore-della-sicurezza-in-fase-di-progettazione-csp-ed-esecuzione-cse.html</v>
      </c>
      <c r="U1310" t="str">
        <f>""</f>
        <v/>
      </c>
      <c r="V13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11" spans="1:22" x14ac:dyDescent="0.3">
      <c r="A1311" t="str">
        <f>"Affidamento"</f>
        <v>Affidamento</v>
      </c>
      <c r="B1311" t="str">
        <f>"Fornitura cartellonistica per cantieri stradali"</f>
        <v>Fornitura cartellonistica per cantieri stradali</v>
      </c>
      <c r="C1311" t="str">
        <f>"Z8A1CA6C2A"</f>
        <v>Z8A1CA6C2A</v>
      </c>
      <c r="D1311" t="str">
        <f>"04/11/2021"</f>
        <v>04/11/2021</v>
      </c>
      <c r="E1311" t="str">
        <f>""</f>
        <v/>
      </c>
      <c r="F1311" t="str">
        <f>""</f>
        <v/>
      </c>
      <c r="G1311" t="str">
        <f>"7865.00"</f>
        <v>7865.00</v>
      </c>
      <c r="H1311" t="str">
        <f>"Consorzio di bonifica Bacchiglione"</f>
        <v>Consorzio di bonifica Bacchiglione</v>
      </c>
      <c r="I1311" t="str">
        <f>"92223390284"</f>
        <v>92223390284</v>
      </c>
      <c r="J1311" t="str">
        <f>"23-AFFIDAMENTO DIRETTO"</f>
        <v>23-AFFIDAMENTO DIRETTO</v>
      </c>
      <c r="K1311" t="str">
        <f>"21/12/2021"</f>
        <v>21/12/2021</v>
      </c>
      <c r="L1311" t="str">
        <f>"22/02/2021"</f>
        <v>22/02/2021</v>
      </c>
      <c r="M1311" t="str">
        <f>""</f>
        <v/>
      </c>
      <c r="N1311" t="str">
        <f>"Obiettivo Ambiente s.r.l. Viale della Navigazione Interna 35 35129 Padova | Fip Articoli Tecnici S.r.l. Viale Regione Veneto 9 35127 Padova"</f>
        <v>Obiettivo Ambiente s.r.l. Viale della Navigazione Interna 35 35129 Padova | Fip Articoli Tecnici S.r.l. Viale Regione Veneto 9 35127 Padova</v>
      </c>
      <c r="O1311" t="str">
        <f>"Fip Articoli Tecnici S.r.l. Viale Regione Veneto 9 35127 Padova"</f>
        <v>Fip Articoli Tecnici S.r.l. Viale Regione Veneto 9 35127 Padova</v>
      </c>
      <c r="P1311" t="str">
        <f>"Z8A1CA6C2A: [7865.00€ ]"</f>
        <v>Z8A1CA6C2A: [7865.00€ ]</v>
      </c>
      <c r="Q1311" t="str">
        <f>""</f>
        <v/>
      </c>
      <c r="R1311" t="str">
        <f>""</f>
        <v/>
      </c>
      <c r="S1311" t="str">
        <f>""</f>
        <v/>
      </c>
      <c r="T1311" t="str">
        <f>"https://portaletrasparenza.consorziobacchiglione.it/dettagli/attodigara/1026/fornitura-cartellonistica-per-cantieri-stradali.html"</f>
        <v>https://portaletrasparenza.consorziobacchiglione.it/dettagli/attodigara/1026/fornitura-cartellonistica-per-cantieri-stradali.html</v>
      </c>
      <c r="U1311" t="str">
        <f>""</f>
        <v/>
      </c>
      <c r="V131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12" spans="1:22" x14ac:dyDescent="0.3">
      <c r="A1312" t="str">
        <f>"Affidamento"</f>
        <v>Affidamento</v>
      </c>
      <c r="B1312" t="str">
        <f>"Effettuazione del prelievo ed analisi chimiche su campioni di sedimento e terreno."</f>
        <v>Effettuazione del prelievo ed analisi chimiche su campioni di sedimento e terreno.</v>
      </c>
      <c r="C1312" t="str">
        <f>"Z921CA366F"</f>
        <v>Z921CA366F</v>
      </c>
      <c r="D1312" t="str">
        <f>"04/11/2021"</f>
        <v>04/11/2021</v>
      </c>
      <c r="E1312" t="str">
        <f>""</f>
        <v/>
      </c>
      <c r="F1312" t="str">
        <f>""</f>
        <v/>
      </c>
      <c r="G1312" t="str">
        <f>"1260.00"</f>
        <v>1260.00</v>
      </c>
      <c r="H1312" t="str">
        <f>"Consorzio di bonifica Bacchiglione"</f>
        <v>Consorzio di bonifica Bacchiglione</v>
      </c>
      <c r="I1312" t="str">
        <f>"92223390284"</f>
        <v>92223390284</v>
      </c>
      <c r="J1312" t="str">
        <f>"23-AFFIDAMENTO DIRETTO"</f>
        <v>23-AFFIDAMENTO DIRETTO</v>
      </c>
      <c r="K1312" t="str">
        <f>"21/12/2021"</f>
        <v>21/12/2021</v>
      </c>
      <c r="L1312" t="str">
        <f>"25/01/2021"</f>
        <v>25/01/2021</v>
      </c>
      <c r="M1312" t="str">
        <f>""</f>
        <v/>
      </c>
      <c r="N1312" t="str">
        <f>"Innovazione Chimica s.r.l."</f>
        <v>Innovazione Chimica s.r.l.</v>
      </c>
      <c r="O1312" t="str">
        <f>"Innovazione Chimica s.r.l."</f>
        <v>Innovazione Chimica s.r.l.</v>
      </c>
      <c r="P1312" t="str">
        <f>"Z921CA366F: [1260.00€ ]"</f>
        <v>Z921CA366F: [1260.00€ ]</v>
      </c>
      <c r="Q1312" t="str">
        <f>""</f>
        <v/>
      </c>
      <c r="R1312" t="str">
        <f>""</f>
        <v/>
      </c>
      <c r="S1312" t="str">
        <f>""</f>
        <v/>
      </c>
      <c r="T1312" t="str">
        <f>"https://portaletrasparenza.consorziobacchiglione.it/dettagli/attodigara/1025/effettuazione-del-prelievo-ed-analisi-chimiche-su-campioni-di-sedimento-e-terreno.html"</f>
        <v>https://portaletrasparenza.consorziobacchiglione.it/dettagli/attodigara/1025/effettuazione-del-prelievo-ed-analisi-chimiche-su-campioni-di-sedimento-e-terreno.html</v>
      </c>
      <c r="U1312" t="str">
        <f>""</f>
        <v/>
      </c>
      <c r="V13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13" spans="1:22" x14ac:dyDescent="0.3">
      <c r="A1313" t="str">
        <f>"Affidamento"</f>
        <v>Affidamento</v>
      </c>
      <c r="B1313" t="str">
        <f>"Fornitura 22 metri tubo gasolio per cisterna mobile presso mezzo targato: FF974PM"</f>
        <v>Fornitura 22 metri tubo gasolio per cisterna mobile presso mezzo targato: FF974PM</v>
      </c>
      <c r="C1313" t="str">
        <f>"Z063487990"</f>
        <v>Z063487990</v>
      </c>
      <c r="D1313" t="str">
        <f>"21/12/2021"</f>
        <v>21/12/2021</v>
      </c>
      <c r="E1313" t="str">
        <f>""</f>
        <v/>
      </c>
      <c r="F1313" t="str">
        <f>""</f>
        <v/>
      </c>
      <c r="G1313" t="str">
        <f>"271.02"</f>
        <v>271.02</v>
      </c>
      <c r="H1313" t="str">
        <f>"Consorzio di bonifica Bacchiglione"</f>
        <v>Consorzio di bonifica Bacchiglione</v>
      </c>
      <c r="I1313" t="str">
        <f>"92223390284"</f>
        <v>92223390284</v>
      </c>
      <c r="J1313" t="str">
        <f>"23-AFFIDAMENTO DIRETTO"</f>
        <v>23-AFFIDAMENTO DIRETTO</v>
      </c>
      <c r="K1313" t="str">
        <f>"21/12/2021"</f>
        <v>21/12/2021</v>
      </c>
      <c r="L1313" t="str">
        <f>"23/12/2021"</f>
        <v>23/12/2021</v>
      </c>
      <c r="M1313" t="str">
        <f>""</f>
        <v/>
      </c>
      <c r="N1313" t="str">
        <f>"Autoricambi s.n.c. di Mardegan Paolo e Manfron Veronica Via A.Valerio 26-28 Piove di Sacco PD"</f>
        <v>Autoricambi s.n.c. di Mardegan Paolo e Manfron Veronica Via A.Valerio 26-28 Piove di Sacco PD</v>
      </c>
      <c r="O1313" t="str">
        <f>"Autoricambi s.n.c. di Mardegan Paolo e Manfron Veronica Via A.Valerio 26-28 Piove di Sacco PD"</f>
        <v>Autoricambi s.n.c. di Mardegan Paolo e Manfron Veronica Via A.Valerio 26-28 Piove di Sacco PD</v>
      </c>
      <c r="P1313" t="s">
        <v>294</v>
      </c>
      <c r="Q1313" t="str">
        <f>""</f>
        <v/>
      </c>
      <c r="R1313" t="str">
        <f>""</f>
        <v/>
      </c>
      <c r="S1313" t="str">
        <f>""</f>
        <v/>
      </c>
      <c r="T1313" t="str">
        <f>"https://portaletrasparenza.consorziobacchiglione.it/dettagli/attodigara/7374/fornitura-22-metri-tubo-gasolio-per-cisterna-mobile-presso-mezzo-targato-ff974pm.html"</f>
        <v>https://portaletrasparenza.consorziobacchiglione.it/dettagli/attodigara/7374/fornitura-22-metri-tubo-gasolio-per-cisterna-mobile-presso-mezzo-targato-ff974pm.html</v>
      </c>
      <c r="U1313" t="str">
        <f>"https://portaletrasparenza.consorziobacchiglione.it/download/attodigara/7374/63ac45ff01974.PDF"</f>
        <v>https://portaletrasparenza.consorziobacchiglione.it/download/attodigara/7374/63ac45ff01974.PDF</v>
      </c>
      <c r="V13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14" spans="1:22" x14ac:dyDescent="0.3">
      <c r="A1314" t="str">
        <f>"Affidamento"</f>
        <v>Affidamento</v>
      </c>
      <c r="B1314" t="str">
        <f>"Fornitura ricambi per motosega Stihl presso C.O.S.Margherita"</f>
        <v>Fornitura ricambi per motosega Stihl presso C.O.S.Margherita</v>
      </c>
      <c r="C1314" t="str">
        <f>"Z983486CF3"</f>
        <v>Z983486CF3</v>
      </c>
      <c r="D1314" t="str">
        <f>"21/12/2021"</f>
        <v>21/12/2021</v>
      </c>
      <c r="E1314" t="str">
        <f>""</f>
        <v/>
      </c>
      <c r="F1314" t="str">
        <f>""</f>
        <v/>
      </c>
      <c r="G1314" t="str">
        <f>"59.02"</f>
        <v>59.02</v>
      </c>
      <c r="H1314" t="str">
        <f>"Consorzio di bonifica Bacchiglione"</f>
        <v>Consorzio di bonifica Bacchiglione</v>
      </c>
      <c r="I1314" t="str">
        <f>"92223390284"</f>
        <v>92223390284</v>
      </c>
      <c r="J1314" t="str">
        <f>"23-AFFIDAMENTO DIRETTO"</f>
        <v>23-AFFIDAMENTO DIRETTO</v>
      </c>
      <c r="K1314" t="str">
        <f>"21/12/2021"</f>
        <v>21/12/2021</v>
      </c>
      <c r="L1314" t="str">
        <f>"22/12/2021"</f>
        <v>22/12/2021</v>
      </c>
      <c r="M1314" t="str">
        <f>""</f>
        <v/>
      </c>
      <c r="N1314" t="str">
        <f>"Mini Motor di Vettorato Gabriele Via Puccini 3 35020 Brugine PD"</f>
        <v>Mini Motor di Vettorato Gabriele Via Puccini 3 35020 Brugine PD</v>
      </c>
      <c r="O1314" t="str">
        <f>"Mini Motor di Vettorato Gabriele Via Puccini 3 35020 Brugine PD"</f>
        <v>Mini Motor di Vettorato Gabriele Via Puccini 3 35020 Brugine PD</v>
      </c>
      <c r="P1314" t="s">
        <v>326</v>
      </c>
      <c r="Q1314" t="str">
        <f>""</f>
        <v/>
      </c>
      <c r="R1314" t="str">
        <f>""</f>
        <v/>
      </c>
      <c r="S1314" t="str">
        <f>""</f>
        <v/>
      </c>
      <c r="T1314" t="str">
        <f>"https://portaletrasparenza.consorziobacchiglione.it/dettagli/attodigara/7373/fornitura-ricambi-per-motosega-stihl-presso-c-o-s-margherita.html"</f>
        <v>https://portaletrasparenza.consorziobacchiglione.it/dettagli/attodigara/7373/fornitura-ricambi-per-motosega-stihl-presso-c-o-s-margherita.html</v>
      </c>
      <c r="U1314" t="str">
        <f>"https://portaletrasparenza.consorziobacchiglione.it/download/attodigara/7373/63ac45febcca2.PDF"</f>
        <v>https://portaletrasparenza.consorziobacchiglione.it/download/attodigara/7373/63ac45febcca2.PDF</v>
      </c>
      <c r="V131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15" spans="1:22" x14ac:dyDescent="0.3">
      <c r="A1315" t="str">
        <f>"Affidamento"</f>
        <v>Affidamento</v>
      </c>
      <c r="B1315" t="str">
        <f>"Sostituzione interruttore tergicristallo e sostituzione ruote vetro scorrevole su mezzo targato: AGZ838"</f>
        <v>Sostituzione interruttore tergicristallo e sostituzione ruote vetro scorrevole su mezzo targato: AGZ838</v>
      </c>
      <c r="C1315" t="str">
        <f>"Z553487D35"</f>
        <v>Z553487D35</v>
      </c>
      <c r="D1315" t="str">
        <f>"21/12/2021"</f>
        <v>21/12/2021</v>
      </c>
      <c r="E1315" t="str">
        <f>""</f>
        <v/>
      </c>
      <c r="F1315" t="str">
        <f>""</f>
        <v/>
      </c>
      <c r="G1315" t="str">
        <f>"243.46"</f>
        <v>243.46</v>
      </c>
      <c r="H1315" t="str">
        <f>"Consorzio di bonifica Bacchiglione"</f>
        <v>Consorzio di bonifica Bacchiglione</v>
      </c>
      <c r="I1315" t="str">
        <f>"92223390284"</f>
        <v>92223390284</v>
      </c>
      <c r="J1315" t="str">
        <f>"23-AFFIDAMENTO DIRETTO"</f>
        <v>23-AFFIDAMENTO DIRETTO</v>
      </c>
      <c r="K1315" t="str">
        <f>"21/12/2021"</f>
        <v>21/12/2021</v>
      </c>
      <c r="L1315" t="str">
        <f>"11/01/2022"</f>
        <v>11/01/2022</v>
      </c>
      <c r="M1315" t="str">
        <f>""</f>
        <v/>
      </c>
      <c r="N1315" t="str">
        <f>"Adriatica Commerciale Macchine s.r.l. Via dell'Artigianato 5 35020 Due Carrare PD"</f>
        <v>Adriatica Commerciale Macchine s.r.l. Via dell'Artigianato 5 35020 Due Carrare PD</v>
      </c>
      <c r="O1315" t="str">
        <f>"Adriatica Commerciale Macchine s.r.l. Via dell'Artigianato 5 35020 Due Carrare PD"</f>
        <v>Adriatica Commerciale Macchine s.r.l. Via dell'Artigianato 5 35020 Due Carrare PD</v>
      </c>
      <c r="P1315" t="str">
        <f>"Z553487D35: [243.46€ ]"</f>
        <v>Z553487D35: [243.46€ ]</v>
      </c>
      <c r="Q1315" t="str">
        <f>""</f>
        <v/>
      </c>
      <c r="R1315" t="str">
        <f>""</f>
        <v/>
      </c>
      <c r="S1315" t="str">
        <f>""</f>
        <v/>
      </c>
      <c r="T1315" t="str">
        <f>"https://portaletrasparenza.consorziobacchiglione.it/dettagli/attodigara/7375/sostituzione-interruttore-tergicristallo-e-sostituzione-ruote-vetro-scorrevole-su-mezzo-targato-agz838.html"</f>
        <v>https://portaletrasparenza.consorziobacchiglione.it/dettagli/attodigara/7375/sostituzione-interruttore-tergicristallo-e-sostituzione-ruote-vetro-scorrevole-su-mezzo-targato-agz838.html</v>
      </c>
      <c r="U1315" t="str">
        <f>"https://portaletrasparenza.consorziobacchiglione.it/download/attodigara/7375/63ac45ff3ace8.PDF"</f>
        <v>https://portaletrasparenza.consorziobacchiglione.it/download/attodigara/7375/63ac45ff3ace8.PDF</v>
      </c>
      <c r="V131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16" spans="1:22" x14ac:dyDescent="0.3">
      <c r="A1316" t="str">
        <f>"Affidamento"</f>
        <v>Affidamento</v>
      </c>
      <c r="B1316" t="str">
        <f>"Aggiunta attacco per allacciamento all'acquedotto dell' abitazione custode consorziale a Porta Trento."</f>
        <v>Aggiunta attacco per allacciamento all'acquedotto dell' abitazione custode consorziale a Porta Trento.</v>
      </c>
      <c r="C1316" t="str">
        <f>"Z8A182A91F"</f>
        <v>Z8A182A91F</v>
      </c>
      <c r="D1316" t="str">
        <f>"04/11/2021"</f>
        <v>04/11/2021</v>
      </c>
      <c r="E1316" t="str">
        <f>""</f>
        <v/>
      </c>
      <c r="F1316" t="str">
        <f>""</f>
        <v/>
      </c>
      <c r="G1316" t="str">
        <f>"873.35"</f>
        <v>873.35</v>
      </c>
      <c r="H1316" t="str">
        <f>"Consorzio di bonifica Bacchiglione"</f>
        <v>Consorzio di bonifica Bacchiglione</v>
      </c>
      <c r="I1316" t="str">
        <f>"92223390284"</f>
        <v>92223390284</v>
      </c>
      <c r="J1316" t="str">
        <f>"23-AFFIDAMENTO DIRETTO"</f>
        <v>23-AFFIDAMENTO DIRETTO</v>
      </c>
      <c r="K1316" t="str">
        <f>"22/01/2021"</f>
        <v>22/01/2021</v>
      </c>
      <c r="L1316" t="str">
        <f>"27/01/2021"</f>
        <v>27/01/2021</v>
      </c>
      <c r="M1316" t="str">
        <f>""</f>
        <v/>
      </c>
      <c r="N1316" t="str">
        <f>"Acegas-Aps S.p.A. Via del Teatro 5 35127 Padova"</f>
        <v>Acegas-Aps S.p.A. Via del Teatro 5 35127 Padova</v>
      </c>
      <c r="O1316" t="str">
        <f>"Acegas-Aps S.p.A. Via del Teatro 5 35127 Padova"</f>
        <v>Acegas-Aps S.p.A. Via del Teatro 5 35127 Padova</v>
      </c>
      <c r="P1316" t="str">
        <f>"Z8A182A91F: [873.35€ ]"</f>
        <v>Z8A182A91F: [873.35€ ]</v>
      </c>
      <c r="Q1316" t="str">
        <f>""</f>
        <v/>
      </c>
      <c r="R1316" t="str">
        <f>""</f>
        <v/>
      </c>
      <c r="S1316" t="str">
        <f>""</f>
        <v/>
      </c>
      <c r="T1316" t="str">
        <f>"https://portaletrasparenza.consorziobacchiglione.it/dettagli/attodigara/86/aggiunta-attacco-per-allacciamento-all-acquedotto-dell-abitazione-custode-consorziale-a-porta-trento.html"</f>
        <v>https://portaletrasparenza.consorziobacchiglione.it/dettagli/attodigara/86/aggiunta-attacco-per-allacciamento-all-acquedotto-dell-abitazione-custode-consorziale-a-porta-trento.html</v>
      </c>
      <c r="U1316" t="str">
        <f>""</f>
        <v/>
      </c>
      <c r="V131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17" spans="1:22" x14ac:dyDescent="0.3">
      <c r="A1317" t="str">
        <f>"Affidamento"</f>
        <v>Affidamento</v>
      </c>
      <c r="B1317" t="str">
        <f>"Manutenzione e riparazione mezzi con targa: CT189YR, AJR631."</f>
        <v>Manutenzione e riparazione mezzi con targa: CT189YR, AJR631.</v>
      </c>
      <c r="C1317" t="str">
        <f>"ZEB1826CFC"</f>
        <v>ZEB1826CFC</v>
      </c>
      <c r="D1317" t="str">
        <f>"04/11/2021"</f>
        <v>04/11/2021</v>
      </c>
      <c r="E1317" t="str">
        <f>""</f>
        <v/>
      </c>
      <c r="F1317" t="str">
        <f>""</f>
        <v/>
      </c>
      <c r="G1317" t="str">
        <f>"396.20"</f>
        <v>396.20</v>
      </c>
      <c r="H1317" t="str">
        <f>"Consorzio di bonifica Bacchiglione"</f>
        <v>Consorzio di bonifica Bacchiglione</v>
      </c>
      <c r="I1317" t="str">
        <f>"92223390284"</f>
        <v>92223390284</v>
      </c>
      <c r="J1317" t="str">
        <f>"23-AFFIDAMENTO DIRETTO"</f>
        <v>23-AFFIDAMENTO DIRETTO</v>
      </c>
      <c r="K1317" t="str">
        <f>"22/01/2021"</f>
        <v>22/01/2021</v>
      </c>
      <c r="L1317" t="str">
        <f>"22/02/2021"</f>
        <v>22/02/2021</v>
      </c>
      <c r="M1317" t="str">
        <f>""</f>
        <v/>
      </c>
      <c r="N1317" t="str">
        <f>"Negrisolo Officina Meccanica s.a.s. V.le delle Industrie II° strada 13 35025 Cagnola di Cartura PD"</f>
        <v>Negrisolo Officina Meccanica s.a.s. V.le delle Industrie II° strada 13 35025 Cagnola di Cartura PD</v>
      </c>
      <c r="O1317" t="str">
        <f>"Negrisolo Officina Meccanica s.a.s. V.le delle Industrie II° strada 13 35025 Cagnola di Cartura PD"</f>
        <v>Negrisolo Officina Meccanica s.a.s. V.le delle Industrie II° strada 13 35025 Cagnola di Cartura PD</v>
      </c>
      <c r="P1317" t="str">
        <f>"ZEB1826CFC: [396.20€ ]"</f>
        <v>ZEB1826CFC: [396.20€ ]</v>
      </c>
      <c r="Q1317" t="str">
        <f>""</f>
        <v/>
      </c>
      <c r="R1317" t="str">
        <f>""</f>
        <v/>
      </c>
      <c r="S1317" t="str">
        <f>""</f>
        <v/>
      </c>
      <c r="T1317" t="str">
        <f>"https://portaletrasparenza.consorziobacchiglione.it/dettagli/attodigara/85/manutenzione-e-riparazione-mezzi-con-targa-ct189yr-ajr631.html"</f>
        <v>https://portaletrasparenza.consorziobacchiglione.it/dettagli/attodigara/85/manutenzione-e-riparazione-mezzi-con-targa-ct189yr-ajr631.html</v>
      </c>
      <c r="U1317" t="str">
        <f>""</f>
        <v/>
      </c>
      <c r="V131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18" spans="1:22" x14ac:dyDescent="0.3">
      <c r="A1318" t="str">
        <f>"Affidamento"</f>
        <v>Affidamento</v>
      </c>
      <c r="B1318" t="str">
        <f>"Manutenzione G.E presso Idrovora Tosi"</f>
        <v>Manutenzione G.E presso Idrovora Tosi</v>
      </c>
      <c r="C1318" t="str">
        <f>"Z0930528AC"</f>
        <v>Z0930528AC</v>
      </c>
      <c r="D1318" t="str">
        <f>"22/01/2021"</f>
        <v>22/01/2021</v>
      </c>
      <c r="E1318" t="str">
        <f>""</f>
        <v/>
      </c>
      <c r="F1318" t="str">
        <f>""</f>
        <v/>
      </c>
      <c r="G1318" t="str">
        <f>"2365.00"</f>
        <v>2365.00</v>
      </c>
      <c r="H1318" t="str">
        <f>"Consorzio di bonifica Bacchiglione"</f>
        <v>Consorzio di bonifica Bacchiglione</v>
      </c>
      <c r="I1318" t="str">
        <f>"92223390284"</f>
        <v>92223390284</v>
      </c>
      <c r="J1318" t="str">
        <f>"23-AFFIDAMENTO DIRETTO"</f>
        <v>23-AFFIDAMENTO DIRETTO</v>
      </c>
      <c r="K1318" t="str">
        <f>"22/01/2021"</f>
        <v>22/01/2021</v>
      </c>
      <c r="L1318" t="str">
        <f>"26/02/2021"</f>
        <v>26/02/2021</v>
      </c>
      <c r="M1318" t="str">
        <f>""</f>
        <v/>
      </c>
      <c r="N1318" t="str">
        <f>"Italmotori S.r.l. Corso Milano 83 35139 Padova"</f>
        <v>Italmotori S.r.l. Corso Milano 83 35139 Padova</v>
      </c>
      <c r="O1318" t="str">
        <f>"Italmotori S.r.l. Corso Milano 83 35139 Padova"</f>
        <v>Italmotori S.r.l. Corso Milano 83 35139 Padova</v>
      </c>
      <c r="P1318" t="str">
        <f>"Z0930528AC: [2365.00€ ]"</f>
        <v>Z0930528AC: [2365.00€ ]</v>
      </c>
      <c r="Q1318" t="str">
        <f>""</f>
        <v/>
      </c>
      <c r="R1318" t="str">
        <f>""</f>
        <v/>
      </c>
      <c r="S1318" t="str">
        <f>""</f>
        <v/>
      </c>
      <c r="T1318" t="str">
        <f>"https://portaletrasparenza.consorziobacchiglione.it/dettagli/attodigara/6570/manutenzione-g-e-presso-idrovora-tosi.html"</f>
        <v>https://portaletrasparenza.consorziobacchiglione.it/dettagli/attodigara/6570/manutenzione-g-e-presso-idrovora-tosi.html</v>
      </c>
      <c r="U1318" t="str">
        <f>"https://portaletrasparenza.consorziobacchiglione.it/download/attodigara/6570/63ac454d9b955.PDF"</f>
        <v>https://portaletrasparenza.consorziobacchiglione.it/download/attodigara/6570/63ac454d9b955.PDF</v>
      </c>
      <c r="V131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19" spans="1:22" x14ac:dyDescent="0.3">
      <c r="A1319" t="str">
        <f>"Affidamento"</f>
        <v>Affidamento</v>
      </c>
      <c r="B1319" t="str">
        <f>"Creazione e gestione campagna pubblicitaria Facebook per la crescita dei like di pagina, di durata di 12 mesi"</f>
        <v>Creazione e gestione campagna pubblicitaria Facebook per la crescita dei like di pagina, di durata di 12 mesi</v>
      </c>
      <c r="C1319" t="str">
        <f>"ZDF30542FA"</f>
        <v>ZDF30542FA</v>
      </c>
      <c r="D1319" t="str">
        <f>"25/01/2021"</f>
        <v>25/01/2021</v>
      </c>
      <c r="E1319" t="str">
        <f>""</f>
        <v/>
      </c>
      <c r="F1319" t="str">
        <f>""</f>
        <v/>
      </c>
      <c r="G1319" t="str">
        <f>"2070.00"</f>
        <v>2070.00</v>
      </c>
      <c r="H1319" t="str">
        <f>"Consorzio di bonifica Bacchiglione"</f>
        <v>Consorzio di bonifica Bacchiglione</v>
      </c>
      <c r="I1319" t="str">
        <f>"92223390284"</f>
        <v>92223390284</v>
      </c>
      <c r="J1319" t="str">
        <f>"23-AFFIDAMENTO DIRETTO"</f>
        <v>23-AFFIDAMENTO DIRETTO</v>
      </c>
      <c r="K1319" t="str">
        <f>"22/01/2021"</f>
        <v>22/01/2021</v>
      </c>
      <c r="L1319" t="str">
        <f>"17/02/2021"</f>
        <v>17/02/2021</v>
      </c>
      <c r="M1319" t="str">
        <f>""</f>
        <v/>
      </c>
      <c r="N1319" t="str">
        <f>"Venice Bay Soc. Coop. Via Torino 186 - 30010 Venezia"</f>
        <v>Venice Bay Soc. Coop. Via Torino 186 - 30010 Venezia</v>
      </c>
      <c r="O1319" t="str">
        <f>"Venice Bay Soc. Coop. Via Torino 186 - 30010 Venezia"</f>
        <v>Venice Bay Soc. Coop. Via Torino 186 - 30010 Venezia</v>
      </c>
      <c r="P1319" t="str">
        <f>"ZDF30542FA: [2070.00€ ]"</f>
        <v>ZDF30542FA: [2070.00€ ]</v>
      </c>
      <c r="Q1319" t="str">
        <f>""</f>
        <v/>
      </c>
      <c r="R1319" t="str">
        <f>""</f>
        <v/>
      </c>
      <c r="S1319" t="str">
        <f>""</f>
        <v/>
      </c>
      <c r="T1319" t="str">
        <f>"https://portaletrasparenza.consorziobacchiglione.it/dettagli/attodigara/6572/creazione-e-gestione-campagna-pubblicitaria-facebook-per-la-crescita-dei-like-di-pagina-di-durata-di-12-mesi.html"</f>
        <v>https://portaletrasparenza.consorziobacchiglione.it/dettagli/attodigara/6572/creazione-e-gestione-campagna-pubblicitaria-facebook-per-la-crescita-dei-like-di-pagina-di-durata-di-12-mesi.html</v>
      </c>
      <c r="U1319" t="str">
        <f>"https://portaletrasparenza.consorziobacchiglione.it/download/attodigara/6572/63ac454e18371.PDF"</f>
        <v>https://portaletrasparenza.consorziobacchiglione.it/download/attodigara/6572/63ac454e18371.PDF</v>
      </c>
      <c r="V131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20" spans="1:22" x14ac:dyDescent="0.3">
      <c r="A1320" t="str">
        <f>"Affidamento"</f>
        <v>Affidamento</v>
      </c>
      <c r="B1320" t="str">
        <f>"Lavorazione di sistemazione infiltrazioni su manufatto di regolazione in località Corte a Piove di Sacco e ripresa spondale posta subito a valle dello stesso"</f>
        <v>Lavorazione di sistemazione infiltrazioni su manufatto di regolazione in località Corte a Piove di Sacco e ripresa spondale posta subito a valle dello stesso</v>
      </c>
      <c r="C1320" t="str">
        <f>"ZCC3052B3A"</f>
        <v>ZCC3052B3A</v>
      </c>
      <c r="D1320" t="str">
        <f>"25/01/2021"</f>
        <v>25/01/2021</v>
      </c>
      <c r="E1320" t="str">
        <f>""</f>
        <v/>
      </c>
      <c r="F1320" t="str">
        <f>""</f>
        <v/>
      </c>
      <c r="G1320" t="str">
        <f>"36929.94"</f>
        <v>36929.94</v>
      </c>
      <c r="H1320" t="str">
        <f>"Consorzio di bonifica Bacchiglione"</f>
        <v>Consorzio di bonifica Bacchiglione</v>
      </c>
      <c r="I1320" t="str">
        <f>"92223390284"</f>
        <v>92223390284</v>
      </c>
      <c r="J1320" t="str">
        <f>"23-AFFIDAMENTO DIRETTO"</f>
        <v>23-AFFIDAMENTO DIRETTO</v>
      </c>
      <c r="K1320" t="str">
        <f>"22/01/2021"</f>
        <v>22/01/2021</v>
      </c>
      <c r="L1320" t="str">
        <f>"30/04/2021"</f>
        <v>30/04/2021</v>
      </c>
      <c r="M1320" t="str">
        <f>""</f>
        <v/>
      </c>
      <c r="N1320" t="str">
        <f>"LOCAPAL SRL Via Marghera 7 30010 Lughetto di Campagna Lupia VE"</f>
        <v>LOCAPAL SRL Via Marghera 7 30010 Lughetto di Campagna Lupia VE</v>
      </c>
      <c r="O1320" t="str">
        <f>"LOCAPAL SRL Via Marghera 7 30010 Lughetto di Campagna Lupia VE"</f>
        <v>LOCAPAL SRL Via Marghera 7 30010 Lughetto di Campagna Lupia VE</v>
      </c>
      <c r="P1320" t="str">
        <f>"ZCC3052B3A: [36929.94€ ]"</f>
        <v>ZCC3052B3A: [36929.94€ ]</v>
      </c>
      <c r="Q1320" t="str">
        <f>""</f>
        <v/>
      </c>
      <c r="R1320" t="str">
        <f>""</f>
        <v/>
      </c>
      <c r="S1320" t="str">
        <f>""</f>
        <v/>
      </c>
      <c r="T1320" t="str">
        <f>"https://portaletrasparenza.consorziobacchiglione.it/dettagli/attodigara/6571/lavorazione-di-sistemazione-infiltrazioni-su-manufatto-di-regolazione-in-localita-corte-a-piove-di-sacco-e-ripresa-spondale-posta-subito-a-valle-dello-stesso.html"</f>
        <v>https://portaletrasparenza.consorziobacchiglione.it/dettagli/attodigara/6571/lavorazione-di-sistemazione-infiltrazioni-su-manufatto-di-regolazione-in-localita-corte-a-piove-di-sacco-e-ripresa-spondale-posta-subito-a-valle-dello-stesso.html</v>
      </c>
      <c r="U1320" t="str">
        <f>"https://portaletrasparenza.consorziobacchiglione.it/download/attodigara/6571/63ac454dd40d0.PDF"</f>
        <v>https://portaletrasparenza.consorziobacchiglione.it/download/attodigara/6571/63ac454dd40d0.PDF</v>
      </c>
      <c r="V132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21" spans="1:22" x14ac:dyDescent="0.3">
      <c r="A1321" t="str">
        <f>"Affidamento"</f>
        <v>Affidamento</v>
      </c>
      <c r="B1321" t="str">
        <f>"Servizio di assistenza e manutenzione sistema di telecontrollo e telecomando impianti periodo Gennaio - Febbraio - Marzo 2016."</f>
        <v>Servizio di assistenza e manutenzione sistema di telecontrollo e telecomando impianti periodo Gennaio - Febbraio - Marzo 2016.</v>
      </c>
      <c r="C1321" t="str">
        <f>"ZC018A0669"</f>
        <v>ZC018A0669</v>
      </c>
      <c r="D1321" t="str">
        <f>"04/11/2021"</f>
        <v>04/11/2021</v>
      </c>
      <c r="E1321" t="str">
        <f>""</f>
        <v/>
      </c>
      <c r="F1321" t="str">
        <f>""</f>
        <v/>
      </c>
      <c r="G1321" t="str">
        <f>"7000.00"</f>
        <v>7000.00</v>
      </c>
      <c r="H1321" t="str">
        <f>"Consorzio di bonifica Bacchiglione"</f>
        <v>Consorzio di bonifica Bacchiglione</v>
      </c>
      <c r="I1321" t="str">
        <f>"92223390284"</f>
        <v>92223390284</v>
      </c>
      <c r="J1321" t="str">
        <f>"23-AFFIDAMENTO DIRETTO"</f>
        <v>23-AFFIDAMENTO DIRETTO</v>
      </c>
      <c r="K1321" t="str">
        <f>"22/02/2021"</f>
        <v>22/02/2021</v>
      </c>
      <c r="L1321" t="str">
        <f>"18/03/2021"</f>
        <v>18/03/2021</v>
      </c>
      <c r="M1321" t="str">
        <f>""</f>
        <v/>
      </c>
      <c r="N1321" t="str">
        <f>"Connet s.r.l. Via Giacomo Leopardi18A 35027 Noventa Padovana PD"</f>
        <v>Connet s.r.l. Via Giacomo Leopardi18A 35027 Noventa Padovana PD</v>
      </c>
      <c r="O1321" t="str">
        <f>"Connet s.r.l. Via Giacomo Leopardi18A 35027 Noventa Padovana PD"</f>
        <v>Connet s.r.l. Via Giacomo Leopardi18A 35027 Noventa Padovana PD</v>
      </c>
      <c r="P1321" t="str">
        <f>"ZC018A0669: [7000.00€ ]"</f>
        <v>ZC018A0669: [7000.00€ ]</v>
      </c>
      <c r="Q1321" t="str">
        <f>""</f>
        <v/>
      </c>
      <c r="R1321" t="str">
        <f>""</f>
        <v/>
      </c>
      <c r="S1321" t="str">
        <f>""</f>
        <v/>
      </c>
      <c r="T1321" t="str">
        <f>"https://portaletrasparenza.consorziobacchiglione.it/dettagli/attodigara/175/servizio-di-assistenza-e-manutenzione-sistema-di-telecontrollo-e-telecomando-impianti-periodo-gennaio-febbraio-marzo-2016.html"</f>
        <v>https://portaletrasparenza.consorziobacchiglione.it/dettagli/attodigara/175/servizio-di-assistenza-e-manutenzione-sistema-di-telecontrollo-e-telecomando-impianti-periodo-gennaio-febbraio-marzo-2016.html</v>
      </c>
      <c r="U1321" t="str">
        <f>""</f>
        <v/>
      </c>
      <c r="V13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22" spans="1:22" x14ac:dyDescent="0.3">
      <c r="A1322" t="str">
        <f>"Affidamento"</f>
        <v>Affidamento</v>
      </c>
      <c r="B1322" t="str">
        <f>"Fornitura materiale D.P.I. per personale di campagna."</f>
        <v>Fornitura materiale D.P.I. per personale di campagna.</v>
      </c>
      <c r="C1322" t="str">
        <f>"ZAC18A05EC"</f>
        <v>ZAC18A05EC</v>
      </c>
      <c r="D1322" t="str">
        <f>"04/11/2021"</f>
        <v>04/11/2021</v>
      </c>
      <c r="E1322" t="str">
        <f>""</f>
        <v/>
      </c>
      <c r="F1322" t="str">
        <f>""</f>
        <v/>
      </c>
      <c r="G1322" t="str">
        <f>"4743.50"</f>
        <v>4743.50</v>
      </c>
      <c r="H1322" t="str">
        <f>"Consorzio di bonifica Bacchiglione"</f>
        <v>Consorzio di bonifica Bacchiglione</v>
      </c>
      <c r="I1322" t="str">
        <f>"92223390284"</f>
        <v>92223390284</v>
      </c>
      <c r="J1322" t="str">
        <f>"23-AFFIDAMENTO DIRETTO"</f>
        <v>23-AFFIDAMENTO DIRETTO</v>
      </c>
      <c r="K1322" t="str">
        <f>"22/02/2021"</f>
        <v>22/02/2021</v>
      </c>
      <c r="L1322" t="str">
        <f>"30/05/2021"</f>
        <v>30/05/2021</v>
      </c>
      <c r="M1322" t="str">
        <f>""</f>
        <v/>
      </c>
      <c r="N1322" t="str">
        <f>"SIR Safety System S.p.A. Zona Industriale S. Maria degli Angeli 06088 Assisi PG"</f>
        <v>SIR Safety System S.p.A. Zona Industriale S. Maria degli Angeli 06088 Assisi PG</v>
      </c>
      <c r="O1322" t="str">
        <f>"SIR Safety System S.p.A. Zona Industriale S. Maria degli Angeli 06088 Assisi PG"</f>
        <v>SIR Safety System S.p.A. Zona Industriale S. Maria degli Angeli 06088 Assisi PG</v>
      </c>
      <c r="P1322" t="str">
        <f>"ZAC18A05EC: [4743.50€ ]"</f>
        <v>ZAC18A05EC: [4743.50€ ]</v>
      </c>
      <c r="Q1322" t="str">
        <f>""</f>
        <v/>
      </c>
      <c r="R1322" t="str">
        <f>""</f>
        <v/>
      </c>
      <c r="S1322" t="str">
        <f>""</f>
        <v/>
      </c>
      <c r="T1322" t="str">
        <f>"https://portaletrasparenza.consorziobacchiglione.it/dettagli/attodigara/174/fornitura-materiale-d-p-i-per-personale-di-campagna.html"</f>
        <v>https://portaletrasparenza.consorziobacchiglione.it/dettagli/attodigara/174/fornitura-materiale-d-p-i-per-personale-di-campagna.html</v>
      </c>
      <c r="U1322" t="str">
        <f>""</f>
        <v/>
      </c>
      <c r="V13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23" spans="1:22" x14ac:dyDescent="0.3">
      <c r="A1323" t="str">
        <f>"Affidamento"</f>
        <v>Affidamento</v>
      </c>
      <c r="B1323" t="str">
        <f>"GIORNATA DI STUDIO \'LA SICUREZZA DELLE OPERE ARGINALI: ASPETTI GEOTECNICI E MONITORAGGIO\' 10 MARZO 2016"</f>
        <v>GIORNATA DI STUDIO \'LA SICUREZZA DELLE OPERE ARGINALI: ASPETTI GEOTECNICI E MONITORAGGIO\' 10 MARZO 2016</v>
      </c>
      <c r="C1323" t="str">
        <f>"Z8718A34D1"</f>
        <v>Z8718A34D1</v>
      </c>
      <c r="D1323" t="str">
        <f>"04/11/2021"</f>
        <v>04/11/2021</v>
      </c>
      <c r="E1323" t="str">
        <f>""</f>
        <v/>
      </c>
      <c r="F1323" t="str">
        <f>""</f>
        <v/>
      </c>
      <c r="G1323" t="str">
        <f>"50.00"</f>
        <v>50.00</v>
      </c>
      <c r="H1323" t="str">
        <f>"Consorzio di bonifica Bacchiglione"</f>
        <v>Consorzio di bonifica Bacchiglione</v>
      </c>
      <c r="I1323" t="str">
        <f>"92223390284"</f>
        <v>92223390284</v>
      </c>
      <c r="J1323" t="str">
        <f>"23-AFFIDAMENTO DIRETTO"</f>
        <v>23-AFFIDAMENTO DIRETTO</v>
      </c>
      <c r="K1323" t="str">
        <f>"22/02/2021"</f>
        <v>22/02/2021</v>
      </c>
      <c r="L1323" t="str">
        <f>"22/02/2021"</f>
        <v>22/02/2021</v>
      </c>
      <c r="M1323" t="str">
        <f>""</f>
        <v/>
      </c>
      <c r="N1323" t="str">
        <f>"ORDINE DEGLI INGEGNERI PROVINCIA DI PADOVA"</f>
        <v>ORDINE DEGLI INGEGNERI PROVINCIA DI PADOVA</v>
      </c>
      <c r="O1323" t="str">
        <f>"ORDINE DEGLI INGEGNERI PROVINCIA DI PADOVA"</f>
        <v>ORDINE DEGLI INGEGNERI PROVINCIA DI PADOVA</v>
      </c>
      <c r="P1323" t="str">
        <f>"Z8718A34D1: [50.00€ ]"</f>
        <v>Z8718A34D1: [50.00€ ]</v>
      </c>
      <c r="Q1323" t="str">
        <f>""</f>
        <v/>
      </c>
      <c r="R1323" t="str">
        <f>""</f>
        <v/>
      </c>
      <c r="S1323" t="str">
        <f>""</f>
        <v/>
      </c>
      <c r="T1323" t="str">
        <f>"https://portaletrasparenza.consorziobacchiglione.it/dettagli/attodigara/172/giornata-di-studio-la-sicurezza-delle-opere-arginali-aspetti-geotecnici-e-monitoraggio-10-marzo-2016.html"</f>
        <v>https://portaletrasparenza.consorziobacchiglione.it/dettagli/attodigara/172/giornata-di-studio-la-sicurezza-delle-opere-arginali-aspetti-geotecnici-e-monitoraggio-10-marzo-2016.html</v>
      </c>
      <c r="U1323" t="str">
        <f>""</f>
        <v/>
      </c>
      <c r="V13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24" spans="1:22" x14ac:dyDescent="0.3">
      <c r="A1324" t="str">
        <f>"Affidamento"</f>
        <v>Affidamento</v>
      </c>
      <c r="B1324" t="str">
        <f>"Impianto di riscaldamento idrico sanitario e condizionamento su fabbricato oggetto di ristrutturazione sede Consorziale."</f>
        <v>Impianto di riscaldamento idrico sanitario e condizionamento su fabbricato oggetto di ristrutturazione sede Consorziale.</v>
      </c>
      <c r="C1324" t="str">
        <f>"Z5B18A05A9"</f>
        <v>Z5B18A05A9</v>
      </c>
      <c r="D1324" t="str">
        <f>"04/11/2021"</f>
        <v>04/11/2021</v>
      </c>
      <c r="E1324" t="str">
        <f>""</f>
        <v/>
      </c>
      <c r="F1324" t="str">
        <f>""</f>
        <v/>
      </c>
      <c r="G1324" t="str">
        <f>"12100.00"</f>
        <v>12100.00</v>
      </c>
      <c r="H1324" t="str">
        <f>"Consorzio di bonifica Bacchiglione"</f>
        <v>Consorzio di bonifica Bacchiglione</v>
      </c>
      <c r="I1324" t="str">
        <f>"92223390284"</f>
        <v>92223390284</v>
      </c>
      <c r="J1324" t="str">
        <f>"23-AFFIDAMENTO DIRETTO"</f>
        <v>23-AFFIDAMENTO DIRETTO</v>
      </c>
      <c r="K1324" t="str">
        <f>"22/02/2021"</f>
        <v>22/02/2021</v>
      </c>
      <c r="L1324" t="str">
        <f>"09/11/2021"</f>
        <v>09/11/2021</v>
      </c>
      <c r="M1324" t="str">
        <f>""</f>
        <v/>
      </c>
      <c r="N1324" t="str">
        <f>"Giraldo Impianti SNC di Giraldo Danilo e Silvio Via Flli Cervi 1-II 30010 Campolongo Maggiore VE"</f>
        <v>Giraldo Impianti SNC di Giraldo Danilo e Silvio Via Flli Cervi 1-II 30010 Campolongo Maggiore VE</v>
      </c>
      <c r="O1324" t="str">
        <f>"Giraldo Impianti SNC di Giraldo Danilo e Silvio Via Flli Cervi 1-II 30010 Campolongo Maggiore VE"</f>
        <v>Giraldo Impianti SNC di Giraldo Danilo e Silvio Via Flli Cervi 1-II 30010 Campolongo Maggiore VE</v>
      </c>
      <c r="P1324" t="str">
        <f>"Z5B18A05A9: [6050.00€ ]"</f>
        <v>Z5B18A05A9: [6050.00€ ]</v>
      </c>
      <c r="Q1324" t="str">
        <f>""</f>
        <v/>
      </c>
      <c r="R1324" t="str">
        <f>""</f>
        <v/>
      </c>
      <c r="S1324" t="str">
        <f>""</f>
        <v/>
      </c>
      <c r="T1324" t="str">
        <f>"https://portaletrasparenza.consorziobacchiglione.it/dettagli/attodigara/173/impianto-di-riscaldamento-idrico-sanitario-e-condizionamento-su-fabbricato-oggetto-di-ristrutturazione-sede-consorziale.html"</f>
        <v>https://portaletrasparenza.consorziobacchiglione.it/dettagli/attodigara/173/impianto-di-riscaldamento-idrico-sanitario-e-condizionamento-su-fabbricato-oggetto-di-ristrutturazione-sede-consorziale.html</v>
      </c>
      <c r="U1324" t="str">
        <f>""</f>
        <v/>
      </c>
      <c r="V1324">
        <f>(SUBSTITUTE(Tabella1[[#This Row],[Importo di aggiudicazione]],".",","))-(SUBSTITUTE(  SUBSTITUTE(          SUBSTITUTE(Tabella1[[#This Row],[Dettaglio somme liquidate]],Tabella1[[#This Row],[CIG]]&amp;": [",""),"€ ]",""),".",","))</f>
        <v>6050</v>
      </c>
    </row>
    <row r="1325" spans="1:22" x14ac:dyDescent="0.3">
      <c r="A1325" t="str">
        <f>"Affidamento"</f>
        <v>Affidamento</v>
      </c>
      <c r="B1325" t="str">
        <f>"BACINI COLLI EUGANEI E MONTÀ PORTELLO - Lavori di fornitura e posa in opera di materiale inerte presso i cantieri di lavoro di ripresa spondale condotti nel comprensorio del Consorzio di bonifica Bacchiglione 28.000 quintali con opzione unilat"</f>
        <v>BACINI COLLI EUGANEI E MONTÀ PORTELLO - Lavori di fornitura e posa in opera di materiale inerte presso i cantieri di lavoro di ripresa spondale condotti nel comprensorio del Consorzio di bonifica Bacchiglione 28.000 quintali con opzione unilat</v>
      </c>
      <c r="C1325" t="str">
        <f>"86006790D7"</f>
        <v>86006790D7</v>
      </c>
      <c r="D1325" t="str">
        <f>"22/02/2021"</f>
        <v>22/02/2021</v>
      </c>
      <c r="E1325" t="str">
        <f>""</f>
        <v/>
      </c>
      <c r="F1325" t="str">
        <f>""</f>
        <v/>
      </c>
      <c r="G1325" t="str">
        <f>"148742.64"</f>
        <v>148742.64</v>
      </c>
      <c r="H1325" t="str">
        <f>"Consorzio di bonifica Bacchiglione"</f>
        <v>Consorzio di bonifica Bacchiglione</v>
      </c>
      <c r="I1325" t="str">
        <f>"92223390284"</f>
        <v>92223390284</v>
      </c>
      <c r="J1325" t="str">
        <f>"23-AFFIDAMENTO DIRETTO"</f>
        <v>23-AFFIDAMENTO DIRETTO</v>
      </c>
      <c r="K1325" t="str">
        <f>"22/02/2021"</f>
        <v>22/02/2021</v>
      </c>
      <c r="L1325" t="str">
        <f>"31/12/2021"</f>
        <v>31/12/2021</v>
      </c>
      <c r="M1325" t="str">
        <f>""</f>
        <v/>
      </c>
      <c r="N1325" t="str">
        <f>"Martini Luciano s.r.l. | VPS s.r.l. | Ecovie s.r.l."</f>
        <v>Martini Luciano s.r.l. | VPS s.r.l. | Ecovie s.r.l.</v>
      </c>
      <c r="O1325" t="str">
        <f>"Martini Luciano s.r.l."</f>
        <v>Martini Luciano s.r.l.</v>
      </c>
      <c r="P1325" t="s">
        <v>130</v>
      </c>
      <c r="Q1325" t="str">
        <f>""</f>
        <v/>
      </c>
      <c r="R1325" t="str">
        <f>""</f>
        <v/>
      </c>
      <c r="S1325" t="str">
        <f>""</f>
        <v/>
      </c>
      <c r="T1325" t="s">
        <v>119</v>
      </c>
      <c r="U1325" t="str">
        <f>"https://portaletrasparenza.consorziobacchiglione.it/download/attodigara/6483/63ac455f19a76.PDF"</f>
        <v>https://portaletrasparenza.consorziobacchiglione.it/download/attodigara/6483/63ac455f19a76.PDF</v>
      </c>
      <c r="V13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26" spans="1:22" x14ac:dyDescent="0.3">
      <c r="A1326" t="str">
        <f>"Affidamento"</f>
        <v>Affidamento</v>
      </c>
      <c r="B1326" t="str">
        <f>"BACINI SETTIMA PRESA - DELTA BRENTA - FOCI BRENTA ADIGE - lavori di fornitura e posa in opera di materiale inerte presso i cantieri di lavoro di ripresa spondale condotti nel comprensorio del Consorzio di bonifica Bacchiglione 28.000 quintali"</f>
        <v>BACINI SETTIMA PRESA - DELTA BRENTA - FOCI BRENTA ADIGE - lavori di fornitura e posa in opera di materiale inerte presso i cantieri di lavoro di ripresa spondale condotti nel comprensorio del Consorzio di bonifica Bacchiglione 28.000 quintali</v>
      </c>
      <c r="C1326" t="str">
        <f>"8600763627"</f>
        <v>8600763627</v>
      </c>
      <c r="D1326" t="str">
        <f>"22/02/2021"</f>
        <v>22/02/2021</v>
      </c>
      <c r="E1326" t="str">
        <f>""</f>
        <v/>
      </c>
      <c r="F1326" t="str">
        <f>""</f>
        <v/>
      </c>
      <c r="G1326" t="str">
        <f>"147351.12"</f>
        <v>147351.12</v>
      </c>
      <c r="H1326" t="str">
        <f>"Consorzio di bonifica Bacchiglione"</f>
        <v>Consorzio di bonifica Bacchiglione</v>
      </c>
      <c r="I1326" t="str">
        <f>"92223390284"</f>
        <v>92223390284</v>
      </c>
      <c r="J1326" t="str">
        <f>"23-AFFIDAMENTO DIRETTO"</f>
        <v>23-AFFIDAMENTO DIRETTO</v>
      </c>
      <c r="K1326" t="str">
        <f>"22/02/2021"</f>
        <v>22/02/2021</v>
      </c>
      <c r="L1326" t="str">
        <f>"31/12/2021"</f>
        <v>31/12/2021</v>
      </c>
      <c r="M1326" t="str">
        <f>""</f>
        <v/>
      </c>
      <c r="N1326" t="str">
        <f>"VPS s.r.l. | Salima s.r.l. | R.A. COSTRUZIONI S.R.L."</f>
        <v>VPS s.r.l. | Salima s.r.l. | R.A. COSTRUZIONI S.R.L.</v>
      </c>
      <c r="O1326" t="str">
        <f>"Salima s.r.l."</f>
        <v>Salima s.r.l.</v>
      </c>
      <c r="P1326" t="s">
        <v>140</v>
      </c>
      <c r="Q1326" t="str">
        <f>""</f>
        <v/>
      </c>
      <c r="R1326" t="str">
        <f>""</f>
        <v/>
      </c>
      <c r="S1326" t="str">
        <f>""</f>
        <v/>
      </c>
      <c r="T1326" t="s">
        <v>116</v>
      </c>
      <c r="U1326" t="str">
        <f>"https://portaletrasparenza.consorziobacchiglione.it/download/attodigara/6486/63ac455f9478e.PDF"</f>
        <v>https://portaletrasparenza.consorziobacchiglione.it/download/attodigara/6486/63ac455f9478e.PDF</v>
      </c>
      <c r="V13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27" spans="1:22" x14ac:dyDescent="0.3">
      <c r="A1327" t="str">
        <f>"Affidamento"</f>
        <v>Affidamento</v>
      </c>
      <c r="B1327" t="str">
        <f>"BACINO SESTA PRESA-PRIMA SEZIONE - Lavori di fornitura e posa in opera di materiale inerte presso i cantieri di lavoro di ripresa spondale condotti nel comprensorio del Consorzio di bonifica Bacchiglione 28.000 quintali con opzione unilaterale"</f>
        <v>BACINO SESTA PRESA-PRIMA SEZIONE - Lavori di fornitura e posa in opera di materiale inerte presso i cantieri di lavoro di ripresa spondale condotti nel comprensorio del Consorzio di bonifica Bacchiglione 28.000 quintali con opzione unilaterale</v>
      </c>
      <c r="C1327" t="str">
        <f>"86007191D9"</f>
        <v>86007191D9</v>
      </c>
      <c r="D1327" t="str">
        <f>"22/02/2021"</f>
        <v>22/02/2021</v>
      </c>
      <c r="E1327" t="str">
        <f>""</f>
        <v/>
      </c>
      <c r="F1327" t="str">
        <f>""</f>
        <v/>
      </c>
      <c r="G1327" t="str">
        <f>"147351.12"</f>
        <v>147351.12</v>
      </c>
      <c r="H1327" t="str">
        <f>"Consorzio di bonifica Bacchiglione"</f>
        <v>Consorzio di bonifica Bacchiglione</v>
      </c>
      <c r="I1327" t="str">
        <f>"92223390284"</f>
        <v>92223390284</v>
      </c>
      <c r="J1327" t="str">
        <f>"23-AFFIDAMENTO DIRETTO"</f>
        <v>23-AFFIDAMENTO DIRETTO</v>
      </c>
      <c r="K1327" t="str">
        <f>"22/02/2021"</f>
        <v>22/02/2021</v>
      </c>
      <c r="L1327" t="str">
        <f>"31/12/2021"</f>
        <v>31/12/2021</v>
      </c>
      <c r="M1327" t="str">
        <f>""</f>
        <v/>
      </c>
      <c r="N1327" t="str">
        <f>"Salima s.r.l. | Ecovie s.r.l. | R.A. COSTRUZIONI S.R.L."</f>
        <v>Salima s.r.l. | Ecovie s.r.l. | R.A. COSTRUZIONI S.R.L.</v>
      </c>
      <c r="O1327" t="str">
        <f>"Salima s.r.l."</f>
        <v>Salima s.r.l.</v>
      </c>
      <c r="P1327" t="s">
        <v>146</v>
      </c>
      <c r="Q1327" t="str">
        <f>""</f>
        <v/>
      </c>
      <c r="R1327" t="str">
        <f>""</f>
        <v/>
      </c>
      <c r="S1327" t="str">
        <f>""</f>
        <v/>
      </c>
      <c r="T1327" t="s">
        <v>117</v>
      </c>
      <c r="U1327" t="str">
        <f>"https://portaletrasparenza.consorziobacchiglione.it/download/attodigara/6485/63ac455f5a97f.PDF"</f>
        <v>https://portaletrasparenza.consorziobacchiglione.it/download/attodigara/6485/63ac455f5a97f.PDF</v>
      </c>
      <c r="V132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28" spans="1:22" x14ac:dyDescent="0.3">
      <c r="A1328" t="str">
        <f>"Affidamento"</f>
        <v>Affidamento</v>
      </c>
      <c r="B1328" t="str">
        <f>"BACINI PRATIARCATI E DUE CARRARE - Lavori di fornitura e posa in opera di materiale inerte presso i cantieri di lavoro di ripresa spondale condotti nel comprensorio del Consorzio di bonifica Bacchiglione 28.000 quintali con opzione unilaterale"</f>
        <v>BACINI PRATIARCATI E DUE CARRARE - Lavori di fornitura e posa in opera di materiale inerte presso i cantieri di lavoro di ripresa spondale condotti nel comprensorio del Consorzio di bonifica Bacchiglione 28.000 quintali con opzione unilaterale</v>
      </c>
      <c r="C1328" t="str">
        <f>"860070671D"</f>
        <v>860070671D</v>
      </c>
      <c r="D1328" t="str">
        <f>"22/02/2021"</f>
        <v>22/02/2021</v>
      </c>
      <c r="E1328" t="str">
        <f>""</f>
        <v/>
      </c>
      <c r="F1328" t="str">
        <f>""</f>
        <v/>
      </c>
      <c r="G1328" t="str">
        <f>"148742.64"</f>
        <v>148742.64</v>
      </c>
      <c r="H1328" t="str">
        <f>"Consorzio di bonifica Bacchiglione"</f>
        <v>Consorzio di bonifica Bacchiglione</v>
      </c>
      <c r="I1328" t="str">
        <f>"92223390284"</f>
        <v>92223390284</v>
      </c>
      <c r="J1328" t="str">
        <f>"23-AFFIDAMENTO DIRETTO"</f>
        <v>23-AFFIDAMENTO DIRETTO</v>
      </c>
      <c r="K1328" t="str">
        <f>"22/02/2021"</f>
        <v>22/02/2021</v>
      </c>
      <c r="L1328" t="str">
        <f>"31/12/2021"</f>
        <v>31/12/2021</v>
      </c>
      <c r="M1328" t="str">
        <f>""</f>
        <v/>
      </c>
      <c r="N1328" t="str">
        <f>"Costruzioni Ing. Carlo Broetto s.r.l. con Unico Socio | Martini Luciano s.r.l. | Bisello movimento terra di Bisello Pierenzo E C. s.n.c."</f>
        <v>Costruzioni Ing. Carlo Broetto s.r.l. con Unico Socio | Martini Luciano s.r.l. | Bisello movimento terra di Bisello Pierenzo E C. s.n.c.</v>
      </c>
      <c r="O1328" t="str">
        <f>"Martini Luciano s.r.l."</f>
        <v>Martini Luciano s.r.l.</v>
      </c>
      <c r="P1328" t="s">
        <v>175</v>
      </c>
      <c r="Q1328" t="str">
        <f>""</f>
        <v/>
      </c>
      <c r="R1328" t="str">
        <f>""</f>
        <v/>
      </c>
      <c r="S1328" t="str">
        <f>""</f>
        <v/>
      </c>
      <c r="T1328" t="s">
        <v>118</v>
      </c>
      <c r="U1328" t="str">
        <f>"https://portaletrasparenza.consorziobacchiglione.it/download/attodigara/6484/63ac455f53add.PDF"</f>
        <v>https://portaletrasparenza.consorziobacchiglione.it/download/attodigara/6484/63ac455f53add.PDF</v>
      </c>
      <c r="V13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29" spans="1:22" x14ac:dyDescent="0.3">
      <c r="A1329" t="str">
        <f>"Affidamento"</f>
        <v>Affidamento</v>
      </c>
      <c r="B1329" t="str">
        <f>"Fornitura n.30 elmetti più n. 50 bermuda per personale esterno"</f>
        <v>Fornitura n.30 elmetti più n. 50 bermuda per personale esterno</v>
      </c>
      <c r="C1329" t="str">
        <f>"Z0430BCC70"</f>
        <v>Z0430BCC70</v>
      </c>
      <c r="D1329" t="str">
        <f>"23/02/2021"</f>
        <v>23/02/2021</v>
      </c>
      <c r="E1329" t="str">
        <f>""</f>
        <v/>
      </c>
      <c r="F1329" t="str">
        <f>""</f>
        <v/>
      </c>
      <c r="G1329" t="str">
        <f>"885.00"</f>
        <v>885.00</v>
      </c>
      <c r="H1329" t="str">
        <f>"Consorzio di bonifica Bacchiglione"</f>
        <v>Consorzio di bonifica Bacchiglione</v>
      </c>
      <c r="I1329" t="str">
        <f>"92223390284"</f>
        <v>92223390284</v>
      </c>
      <c r="J1329" t="str">
        <f>"23-AFFIDAMENTO DIRETTO"</f>
        <v>23-AFFIDAMENTO DIRETTO</v>
      </c>
      <c r="K1329" t="str">
        <f>"22/02/2021"</f>
        <v>22/02/2021</v>
      </c>
      <c r="L1329" t="str">
        <f>"02/03/2021"</f>
        <v>02/03/2021</v>
      </c>
      <c r="M1329" t="str">
        <f>""</f>
        <v/>
      </c>
      <c r="N1329" t="str">
        <f>"Chinello antinfortunistica via Padana 34 Z.I. Vigorovea di S.Angelo di Piove di Sacco PD"</f>
        <v>Chinello antinfortunistica via Padana 34 Z.I. Vigorovea di S.Angelo di Piove di Sacco PD</v>
      </c>
      <c r="O1329" t="str">
        <f>"Chinello antinfortunistica via Padana 34 Z.I. Vigorovea di S.Angelo di Piove di Sacco PD"</f>
        <v>Chinello antinfortunistica via Padana 34 Z.I. Vigorovea di S.Angelo di Piove di Sacco PD</v>
      </c>
      <c r="P1329" t="str">
        <f>"Z0430BCC70: [885.00€ ]"</f>
        <v>Z0430BCC70: [885.00€ ]</v>
      </c>
      <c r="Q1329" t="str">
        <f>""</f>
        <v/>
      </c>
      <c r="R1329" t="str">
        <f>""</f>
        <v/>
      </c>
      <c r="S1329" t="str">
        <f>""</f>
        <v/>
      </c>
      <c r="T1329" t="str">
        <f>"https://portaletrasparenza.consorziobacchiglione.it/dettagli/attodigara/6651/fornitura-n-30-elmetti-piu-n-50-bermuda-per-personale-esterno.html"</f>
        <v>https://portaletrasparenza.consorziobacchiglione.it/dettagli/attodigara/6651/fornitura-n-30-elmetti-piu-n-50-bermuda-per-personale-esterno.html</v>
      </c>
      <c r="U1329" t="str">
        <f>"https://portaletrasparenza.consorziobacchiglione.it/download/attodigara/6651/63ac456082b79.PDF"</f>
        <v>https://portaletrasparenza.consorziobacchiglione.it/download/attodigara/6651/63ac456082b79.PDF</v>
      </c>
      <c r="V13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30" spans="1:22" x14ac:dyDescent="0.3">
      <c r="A1330" t="str">
        <f>"Affidamento"</f>
        <v>Affidamento</v>
      </c>
      <c r="B1330" t="str">
        <f>"Fornitura ricambi vari per mezzi consortili"</f>
        <v>Fornitura ricambi vari per mezzi consortili</v>
      </c>
      <c r="C1330" t="str">
        <f>"Z8330BCA64"</f>
        <v>Z8330BCA64</v>
      </c>
      <c r="D1330" t="str">
        <f>"23/02/2021"</f>
        <v>23/02/2021</v>
      </c>
      <c r="E1330" t="str">
        <f>""</f>
        <v/>
      </c>
      <c r="F1330" t="str">
        <f>""</f>
        <v/>
      </c>
      <c r="G1330" t="str">
        <f>"189.86"</f>
        <v>189.86</v>
      </c>
      <c r="H1330" t="str">
        <f>"Consorzio di bonifica Bacchiglione"</f>
        <v>Consorzio di bonifica Bacchiglione</v>
      </c>
      <c r="I1330" t="str">
        <f>"92223390284"</f>
        <v>92223390284</v>
      </c>
      <c r="J1330" t="str">
        <f>"23-AFFIDAMENTO DIRETTO"</f>
        <v>23-AFFIDAMENTO DIRETTO</v>
      </c>
      <c r="K1330" t="str">
        <f>"22/02/2021"</f>
        <v>22/02/2021</v>
      </c>
      <c r="L1330" t="str">
        <f>"03/03/2021"</f>
        <v>03/03/2021</v>
      </c>
      <c r="M1330" t="str">
        <f>""</f>
        <v/>
      </c>
      <c r="N1330" t="str">
        <f>"Autoricambi s.n.c. di Mardegan Paolo e Manfron Veronica Via A.Valerio 26-28 Piove di Sacco PD"</f>
        <v>Autoricambi s.n.c. di Mardegan Paolo e Manfron Veronica Via A.Valerio 26-28 Piove di Sacco PD</v>
      </c>
      <c r="O1330" t="str">
        <f>"Autoricambi s.n.c. di Mardegan Paolo e Manfron Veronica Via A.Valerio 26-28 Piove di Sacco PD"</f>
        <v>Autoricambi s.n.c. di Mardegan Paolo e Manfron Veronica Via A.Valerio 26-28 Piove di Sacco PD</v>
      </c>
      <c r="P1330" t="str">
        <f>"Z8330BCA64: [189.86€ ]"</f>
        <v>Z8330BCA64: [189.86€ ]</v>
      </c>
      <c r="Q1330" t="str">
        <f>""</f>
        <v/>
      </c>
      <c r="R1330" t="str">
        <f>""</f>
        <v/>
      </c>
      <c r="S1330" t="str">
        <f>""</f>
        <v/>
      </c>
      <c r="T1330" t="str">
        <f>"https://portaletrasparenza.consorziobacchiglione.it/dettagli/attodigara/6650/fornitura-ricambi-vari-per-mezzi-consortili.html"</f>
        <v>https://portaletrasparenza.consorziobacchiglione.it/dettagli/attodigara/6650/fornitura-ricambi-vari-per-mezzi-consortili.html</v>
      </c>
      <c r="U1330" t="str">
        <f>"https://portaletrasparenza.consorziobacchiglione.it/download/attodigara/6650/63ac45604a58d.PDF"</f>
        <v>https://portaletrasparenza.consorziobacchiglione.it/download/attodigara/6650/63ac45604a58d.PDF</v>
      </c>
      <c r="V13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31" spans="1:22" x14ac:dyDescent="0.3">
      <c r="A1331" t="str">
        <f>"Affidamento"</f>
        <v>Affidamento</v>
      </c>
      <c r="B1331" t="str">
        <f>"Ripresa spondale in sinistra e destra Idraulica dello scolo Orsaro, lungo Via Napoli, in comune di Ponte San Nicolò (PD)"</f>
        <v>Ripresa spondale in sinistra e destra Idraulica dello scolo Orsaro, lungo Via Napoli, in comune di Ponte San Nicolò (PD)</v>
      </c>
      <c r="C1331" t="str">
        <f>"Z9630BC3BF"</f>
        <v>Z9630BC3BF</v>
      </c>
      <c r="D1331" t="str">
        <f>"23/02/2021"</f>
        <v>23/02/2021</v>
      </c>
      <c r="E1331" t="str">
        <f>""</f>
        <v/>
      </c>
      <c r="F1331" t="str">
        <f>""</f>
        <v/>
      </c>
      <c r="G1331" t="str">
        <f>"37301.68"</f>
        <v>37301.68</v>
      </c>
      <c r="H1331" t="str">
        <f>"Consorzio di bonifica Bacchiglione"</f>
        <v>Consorzio di bonifica Bacchiglione</v>
      </c>
      <c r="I1331" t="str">
        <f>"92223390284"</f>
        <v>92223390284</v>
      </c>
      <c r="J1331" t="str">
        <f>"23-AFFIDAMENTO DIRETTO"</f>
        <v>23-AFFIDAMENTO DIRETTO</v>
      </c>
      <c r="K1331" t="str">
        <f>"22/02/2021"</f>
        <v>22/02/2021</v>
      </c>
      <c r="L1331" t="str">
        <f>"15/04/2021"</f>
        <v>15/04/2021</v>
      </c>
      <c r="M1331" t="str">
        <f>""</f>
        <v/>
      </c>
      <c r="N1331" t="str">
        <f>"Canton Giovanni S.N.C. Di Canton Lucio E C Via Brenta 15 - 35010 Campo San Martino (PD) | V.P.S. srl Via Morandina 3 - 35020 Codevigo (PD) | L.R.Scavi Srl Via Germania 16 int.3 35010 Vigonza (PD)"</f>
        <v>Canton Giovanni S.N.C. Di Canton Lucio E C Via Brenta 15 - 35010 Campo San Martino (PD) | V.P.S. srl Via Morandina 3 - 35020 Codevigo (PD) | L.R.Scavi Srl Via Germania 16 int.3 35010 Vigonza (PD)</v>
      </c>
      <c r="O1331" t="str">
        <f>"L.R.Scavi Srl Via Germania 16 int.3 35010 Vigonza (PD)"</f>
        <v>L.R.Scavi Srl Via Germania 16 int.3 35010 Vigonza (PD)</v>
      </c>
      <c r="P1331" t="str">
        <f>"Z9630BC3BF: [37292.10€ ]"</f>
        <v>Z9630BC3BF: [37292.10€ ]</v>
      </c>
      <c r="Q1331" t="str">
        <f>""</f>
        <v/>
      </c>
      <c r="R1331" t="str">
        <f>""</f>
        <v/>
      </c>
      <c r="S1331" t="str">
        <f>""</f>
        <v/>
      </c>
      <c r="T1331" t="str">
        <f>"https://portaletrasparenza.consorziobacchiglione.it/dettagli/attodigara/6649/ripresa-spondale-in-sinistra-e-destra-idraulica-dello-scolo-orsaro-lungo-via-napoli-in-comune-di-ponte-san-nicolo-pd.html"</f>
        <v>https://portaletrasparenza.consorziobacchiglione.it/dettagli/attodigara/6649/ripresa-spondale-in-sinistra-e-destra-idraulica-dello-scolo-orsaro-lungo-via-napoli-in-comune-di-ponte-san-nicolo-pd.html</v>
      </c>
      <c r="U1331" t="str">
        <f>"https://portaletrasparenza.consorziobacchiglione.it/download/attodigara/6649/63ac456011e7c.PDF"</f>
        <v>https://portaletrasparenza.consorziobacchiglione.it/download/attodigara/6649/63ac456011e7c.PDF</v>
      </c>
      <c r="V1331">
        <f>(SUBSTITUTE(Tabella1[[#This Row],[Importo di aggiudicazione]],".",","))-(SUBSTITUTE(  SUBSTITUTE(          SUBSTITUTE(Tabella1[[#This Row],[Dettaglio somme liquidate]],Tabella1[[#This Row],[CIG]]&amp;": [",""),"€ ]",""),".",","))</f>
        <v>9.5800000000017462</v>
      </c>
    </row>
    <row r="1332" spans="1:22" x14ac:dyDescent="0.3">
      <c r="A1332" t="str">
        <f>"Affidamento"</f>
        <v>Affidamento</v>
      </c>
      <c r="B1332" t="str">
        <f>"Spostamento escavatore 904 cingolato da Via Roma (località Castellaro) à Via Marconi (località Arzergrande)"</f>
        <v>Spostamento escavatore 904 cingolato da Via Roma (località Castellaro) à Via Marconi (località Arzergrande)</v>
      </c>
      <c r="C1332" t="str">
        <f>"ZAE31155EF"</f>
        <v>ZAE31155EF</v>
      </c>
      <c r="D1332" t="str">
        <f>"22/03/2021"</f>
        <v>22/03/2021</v>
      </c>
      <c r="E1332" t="str">
        <f>""</f>
        <v/>
      </c>
      <c r="F1332" t="str">
        <f>""</f>
        <v/>
      </c>
      <c r="G1332" t="str">
        <f>"120.00"</f>
        <v>120.00</v>
      </c>
      <c r="H1332" t="str">
        <f>"Consorzio di bonifica Bacchiglione"</f>
        <v>Consorzio di bonifica Bacchiglione</v>
      </c>
      <c r="I1332" t="str">
        <f>"92223390284"</f>
        <v>92223390284</v>
      </c>
      <c r="J1332" t="str">
        <f>"23-AFFIDAMENTO DIRETTO"</f>
        <v>23-AFFIDAMENTO DIRETTO</v>
      </c>
      <c r="K1332" t="str">
        <f>"22/03/2021"</f>
        <v>22/03/2021</v>
      </c>
      <c r="L1332" t="str">
        <f>"25/03/2021"</f>
        <v>25/03/2021</v>
      </c>
      <c r="M1332" t="str">
        <f>""</f>
        <v/>
      </c>
      <c r="N1332" t="str">
        <f>"Trovò s.r.l. Via Idrovora, 3 - 35020 Codevigo (PD)"</f>
        <v>Trovò s.r.l. Via Idrovora, 3 - 35020 Codevigo (PD)</v>
      </c>
      <c r="O1332" t="str">
        <f>"Trovò s.r.l. Via Idrovora, 3 - 35020 Codevigo (PD)"</f>
        <v>Trovò s.r.l. Via Idrovora, 3 - 35020 Codevigo (PD)</v>
      </c>
      <c r="P1332" t="str">
        <f>"ZAE31155EF: [120.00€ ]"</f>
        <v>ZAE31155EF: [120.00€ ]</v>
      </c>
      <c r="Q1332" t="str">
        <f>""</f>
        <v/>
      </c>
      <c r="R1332" t="str">
        <f>""</f>
        <v/>
      </c>
      <c r="S1332" t="str">
        <f>""</f>
        <v/>
      </c>
      <c r="T1332" t="str">
        <f>"https://portaletrasparenza.consorziobacchiglione.it/dettagli/attodigara/6716/spostamento-escavatore-904-cingolato-da-via-roma-localita-castellaro-a-via-marconi-localita-arzergrande.html"</f>
        <v>https://portaletrasparenza.consorziobacchiglione.it/dettagli/attodigara/6716/spostamento-escavatore-904-cingolato-da-via-roma-localita-castellaro-a-via-marconi-localita-arzergrande.html</v>
      </c>
      <c r="U1332" t="str">
        <f>"https://portaletrasparenza.consorziobacchiglione.it/download/attodigara/6716/63ac456e3e84b.PDF"</f>
        <v>https://portaletrasparenza.consorziobacchiglione.it/download/attodigara/6716/63ac456e3e84b.PDF</v>
      </c>
      <c r="V13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33" spans="1:22" x14ac:dyDescent="0.3">
      <c r="A1333" t="str">
        <f>"Affidamento"</f>
        <v>Affidamento</v>
      </c>
      <c r="B1333" t="str">
        <f>"Spostamento terreno con trattore e dumper nell'ambito del cantiere scolo Scarpa"</f>
        <v>Spostamento terreno con trattore e dumper nell'ambito del cantiere scolo Scarpa</v>
      </c>
      <c r="C1333" t="str">
        <f>"Z7B31154EF"</f>
        <v>Z7B31154EF</v>
      </c>
      <c r="D1333" t="str">
        <f>"22/03/2021"</f>
        <v>22/03/2021</v>
      </c>
      <c r="E1333" t="str">
        <f>""</f>
        <v/>
      </c>
      <c r="F1333" t="str">
        <f>""</f>
        <v/>
      </c>
      <c r="G1333" t="str">
        <f>"5355.00"</f>
        <v>5355.00</v>
      </c>
      <c r="H1333" t="str">
        <f>"Consorzio di bonifica Bacchiglione"</f>
        <v>Consorzio di bonifica Bacchiglione</v>
      </c>
      <c r="I1333" t="str">
        <f>"92223390284"</f>
        <v>92223390284</v>
      </c>
      <c r="J1333" t="str">
        <f>"23-AFFIDAMENTO DIRETTO"</f>
        <v>23-AFFIDAMENTO DIRETTO</v>
      </c>
      <c r="K1333" t="str">
        <f>"22/03/2021"</f>
        <v>22/03/2021</v>
      </c>
      <c r="L1333" t="str">
        <f>"07/04/2021"</f>
        <v>07/04/2021</v>
      </c>
      <c r="M1333" t="str">
        <f>""</f>
        <v/>
      </c>
      <c r="N1333" t="str">
        <f>"Fasolato F.lli S.r.l. via Boligo 32-B - 30010 Bojon di Campolongo Maggiore (VE)"</f>
        <v>Fasolato F.lli S.r.l. via Boligo 32-B - 30010 Bojon di Campolongo Maggiore (VE)</v>
      </c>
      <c r="O1333" t="str">
        <f>"Fasolato F.lli S.r.l. via Boligo 32-B - 30010 Bojon di Campolongo Maggiore (VE)"</f>
        <v>Fasolato F.lli S.r.l. via Boligo 32-B - 30010 Bojon di Campolongo Maggiore (VE)</v>
      </c>
      <c r="P1333" t="str">
        <f>"Z7B31154EF: [5355.00€ ]"</f>
        <v>Z7B31154EF: [5355.00€ ]</v>
      </c>
      <c r="Q1333" t="str">
        <f>""</f>
        <v/>
      </c>
      <c r="R1333" t="str">
        <f>""</f>
        <v/>
      </c>
      <c r="S1333" t="str">
        <f>""</f>
        <v/>
      </c>
      <c r="T1333" t="str">
        <f>"https://portaletrasparenza.consorziobacchiglione.it/dettagli/attodigara/6715/spostamento-terreno-con-trattore-e-dumper-nell-ambito-del-cantiere-scolo-scarpa.html"</f>
        <v>https://portaletrasparenza.consorziobacchiglione.it/dettagli/attodigara/6715/spostamento-terreno-con-trattore-e-dumper-nell-ambito-del-cantiere-scolo-scarpa.html</v>
      </c>
      <c r="U1333" t="str">
        <f>"https://portaletrasparenza.consorziobacchiglione.it/download/attodigara/6715/63ac456e0622e.PDF"</f>
        <v>https://portaletrasparenza.consorziobacchiglione.it/download/attodigara/6715/63ac456e0622e.PDF</v>
      </c>
      <c r="V13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34" spans="1:22" x14ac:dyDescent="0.3">
      <c r="A1334" t="str">
        <f>"Affidamento"</f>
        <v>Affidamento</v>
      </c>
      <c r="B1334" t="str">
        <f>"Sostituzione copri motore inferiore in ferro compreso di kit del mezzo : FN454KT"</f>
        <v>Sostituzione copri motore inferiore in ferro compreso di kit del mezzo : FN454KT</v>
      </c>
      <c r="C1334" t="str">
        <f>"ZC13115336"</f>
        <v>ZC13115336</v>
      </c>
      <c r="D1334" t="str">
        <f>"22/03/2021"</f>
        <v>22/03/2021</v>
      </c>
      <c r="E1334" t="str">
        <f>""</f>
        <v/>
      </c>
      <c r="F1334" t="str">
        <f>""</f>
        <v/>
      </c>
      <c r="G1334" t="str">
        <f>"220.00"</f>
        <v>220.00</v>
      </c>
      <c r="H1334" t="str">
        <f>"Consorzio di bonifica Bacchiglione"</f>
        <v>Consorzio di bonifica Bacchiglione</v>
      </c>
      <c r="I1334" t="str">
        <f>"92223390284"</f>
        <v>92223390284</v>
      </c>
      <c r="J1334" t="str">
        <f>"23-AFFIDAMENTO DIRETTO"</f>
        <v>23-AFFIDAMENTO DIRETTO</v>
      </c>
      <c r="K1334" t="str">
        <f>"22/03/2021"</f>
        <v>22/03/2021</v>
      </c>
      <c r="L1334" t="str">
        <f>"25/03/2021"</f>
        <v>25/03/2021</v>
      </c>
      <c r="M1334" t="str">
        <f>""</f>
        <v/>
      </c>
      <c r="N1334" t="str">
        <f>"Carrozzeria Biasion S.N.C. Via Bassa 45 35020 Arzergrande PD"</f>
        <v>Carrozzeria Biasion S.N.C. Via Bassa 45 35020 Arzergrande PD</v>
      </c>
      <c r="O1334" t="str">
        <f>"Carrozzeria Biasion S.N.C. Via Bassa 45 35020 Arzergrande PD"</f>
        <v>Carrozzeria Biasion S.N.C. Via Bassa 45 35020 Arzergrande PD</v>
      </c>
      <c r="P1334" t="str">
        <f>"ZC13115336: [220.00€ ]"</f>
        <v>ZC13115336: [220.00€ ]</v>
      </c>
      <c r="Q1334" t="str">
        <f>""</f>
        <v/>
      </c>
      <c r="R1334" t="str">
        <f>""</f>
        <v/>
      </c>
      <c r="S1334" t="str">
        <f>""</f>
        <v/>
      </c>
      <c r="T1334" t="str">
        <f>"https://portaletrasparenza.consorziobacchiglione.it/dettagli/attodigara/6714/sostituzione-copri-motore-inferiore-in-ferro-compreso-di-kit-del-mezzo-fn454kt.html"</f>
        <v>https://portaletrasparenza.consorziobacchiglione.it/dettagli/attodigara/6714/sostituzione-copri-motore-inferiore-in-ferro-compreso-di-kit-del-mezzo-fn454kt.html</v>
      </c>
      <c r="U1334" t="str">
        <f>"https://portaletrasparenza.consorziobacchiglione.it/download/attodigara/6714/63ac456dc0d4c.PDF"</f>
        <v>https://portaletrasparenza.consorziobacchiglione.it/download/attodigara/6714/63ac456dc0d4c.PDF</v>
      </c>
      <c r="V13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35" spans="1:22" x14ac:dyDescent="0.3">
      <c r="A1335" t="str">
        <f>"Affidamento"</f>
        <v>Affidamento</v>
      </c>
      <c r="B1335" t="str">
        <f>"Noleggio escavatore cingolato Hitachi ZX135US per lavori presso scolo Bottesina"</f>
        <v>Noleggio escavatore cingolato Hitachi ZX135US per lavori presso scolo Bottesina</v>
      </c>
      <c r="C1335" t="str">
        <f>"Z0D31181CD"</f>
        <v>Z0D31181CD</v>
      </c>
      <c r="D1335" t="str">
        <f>"23/03/2021"</f>
        <v>23/03/2021</v>
      </c>
      <c r="E1335" t="str">
        <f>""</f>
        <v/>
      </c>
      <c r="F1335" t="str">
        <f>""</f>
        <v/>
      </c>
      <c r="G1335" t="str">
        <f>"7650.00"</f>
        <v>7650.00</v>
      </c>
      <c r="H1335" t="str">
        <f>"Consorzio di bonifica Bacchiglione"</f>
        <v>Consorzio di bonifica Bacchiglione</v>
      </c>
      <c r="I1335" t="str">
        <f>"92223390284"</f>
        <v>92223390284</v>
      </c>
      <c r="J1335" t="str">
        <f>"23-AFFIDAMENTO DIRETTO"</f>
        <v>23-AFFIDAMENTO DIRETTO</v>
      </c>
      <c r="K1335" t="str">
        <f>"22/03/2021"</f>
        <v>22/03/2021</v>
      </c>
      <c r="L1335" t="str">
        <f>"26/03/2021"</f>
        <v>26/03/2021</v>
      </c>
      <c r="M1335" t="str">
        <f>""</f>
        <v/>
      </c>
      <c r="N1335" t="str">
        <f>"Sorme s.n.c. Via Monache 21 35030 Selvazzano Dentro PD"</f>
        <v>Sorme s.n.c. Via Monache 21 35030 Selvazzano Dentro PD</v>
      </c>
      <c r="O1335" t="str">
        <f>"Sorme s.n.c. Via Monache 21 35030 Selvazzano Dentro PD"</f>
        <v>Sorme s.n.c. Via Monache 21 35030 Selvazzano Dentro PD</v>
      </c>
      <c r="P1335" t="str">
        <f>"Z0D31181CD: [7650.00€ ]"</f>
        <v>Z0D31181CD: [7650.00€ ]</v>
      </c>
      <c r="Q1335" t="str">
        <f>""</f>
        <v/>
      </c>
      <c r="R1335" t="str">
        <f>""</f>
        <v/>
      </c>
      <c r="S1335" t="str">
        <f>""</f>
        <v/>
      </c>
      <c r="T1335" t="str">
        <f>"https://portaletrasparenza.consorziobacchiglione.it/dettagli/attodigara/6723/noleggio-escavatore-cingolato-hitachi-zx135us-per-lavori-presso-scolo-bottesina.html"</f>
        <v>https://portaletrasparenza.consorziobacchiglione.it/dettagli/attodigara/6723/noleggio-escavatore-cingolato-hitachi-zx135us-per-lavori-presso-scolo-bottesina.html</v>
      </c>
      <c r="U1335" t="str">
        <f>"https://portaletrasparenza.consorziobacchiglione.it/download/attodigara/6723/63ac456fd4d8a.PDF"</f>
        <v>https://portaletrasparenza.consorziobacchiglione.it/download/attodigara/6723/63ac456fd4d8a.PDF</v>
      </c>
      <c r="V13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36" spans="1:22" x14ac:dyDescent="0.3">
      <c r="A1336" t="str">
        <f>"Affidamento"</f>
        <v>Affidamento</v>
      </c>
      <c r="B1336" t="str">
        <f>"Noleggio Dumper cingolato Takeuchi TCR50 per lavori presso scolo Scarpa"</f>
        <v>Noleggio Dumper cingolato Takeuchi TCR50 per lavori presso scolo Scarpa</v>
      </c>
      <c r="C1336" t="str">
        <f>"Z91311811A"</f>
        <v>Z91311811A</v>
      </c>
      <c r="D1336" t="str">
        <f>"23/03/2021"</f>
        <v>23/03/2021</v>
      </c>
      <c r="E1336" t="str">
        <f>""</f>
        <v/>
      </c>
      <c r="F1336" t="str">
        <f>""</f>
        <v/>
      </c>
      <c r="G1336" t="str">
        <f>"2880.00"</f>
        <v>2880.00</v>
      </c>
      <c r="H1336" t="str">
        <f>"Consorzio di bonifica Bacchiglione"</f>
        <v>Consorzio di bonifica Bacchiglione</v>
      </c>
      <c r="I1336" t="str">
        <f>"92223390284"</f>
        <v>92223390284</v>
      </c>
      <c r="J1336" t="str">
        <f>"23-AFFIDAMENTO DIRETTO"</f>
        <v>23-AFFIDAMENTO DIRETTO</v>
      </c>
      <c r="K1336" t="str">
        <f>"22/03/2021"</f>
        <v>22/03/2021</v>
      </c>
      <c r="L1336" t="str">
        <f>"26/03/2021"</f>
        <v>26/03/2021</v>
      </c>
      <c r="M1336" t="str">
        <f>""</f>
        <v/>
      </c>
      <c r="N1336" t="str">
        <f>"Sorme s.n.c. Via Monache 21 35030 Selvazzano Dentro PD"</f>
        <v>Sorme s.n.c. Via Monache 21 35030 Selvazzano Dentro PD</v>
      </c>
      <c r="O1336" t="str">
        <f>"Sorme s.n.c. Via Monache 21 35030 Selvazzano Dentro PD"</f>
        <v>Sorme s.n.c. Via Monache 21 35030 Selvazzano Dentro PD</v>
      </c>
      <c r="P1336" t="str">
        <f>"Z91311811A: [2880.00€ ]"</f>
        <v>Z91311811A: [2880.00€ ]</v>
      </c>
      <c r="Q1336" t="str">
        <f>""</f>
        <v/>
      </c>
      <c r="R1336" t="str">
        <f>""</f>
        <v/>
      </c>
      <c r="S1336" t="str">
        <f>""</f>
        <v/>
      </c>
      <c r="T1336" t="str">
        <f>"https://portaletrasparenza.consorziobacchiglione.it/dettagli/attodigara/6722/noleggio-dumper-cingolato-takeuchi-tcr50-per-lavori-presso-scolo-scarpa.html"</f>
        <v>https://portaletrasparenza.consorziobacchiglione.it/dettagli/attodigara/6722/noleggio-dumper-cingolato-takeuchi-tcr50-per-lavori-presso-scolo-scarpa.html</v>
      </c>
      <c r="U1336" t="str">
        <f>"https://portaletrasparenza.consorziobacchiglione.it/download/attodigara/6722/63ac456f9c848.PDF"</f>
        <v>https://portaletrasparenza.consorziobacchiglione.it/download/attodigara/6722/63ac456f9c848.PDF</v>
      </c>
      <c r="V13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37" spans="1:22" x14ac:dyDescent="0.3">
      <c r="A1337" t="str">
        <f>"Affidamento"</f>
        <v>Affidamento</v>
      </c>
      <c r="B1337" t="str">
        <f>"Noleggio escavatore cingolato Hitachi ZX135US per lavori presso scolo Brentella Vecchia Nord"</f>
        <v>Noleggio escavatore cingolato Hitachi ZX135US per lavori presso scolo Brentella Vecchia Nord</v>
      </c>
      <c r="C1337" t="str">
        <f>"Z423118066"</f>
        <v>Z423118066</v>
      </c>
      <c r="D1337" t="str">
        <f>"23/03/2021"</f>
        <v>23/03/2021</v>
      </c>
      <c r="E1337" t="str">
        <f>""</f>
        <v/>
      </c>
      <c r="F1337" t="str">
        <f>""</f>
        <v/>
      </c>
      <c r="G1337" t="str">
        <f>"3200.00"</f>
        <v>3200.00</v>
      </c>
      <c r="H1337" t="str">
        <f>"Consorzio di bonifica Bacchiglione"</f>
        <v>Consorzio di bonifica Bacchiglione</v>
      </c>
      <c r="I1337" t="str">
        <f>"92223390284"</f>
        <v>92223390284</v>
      </c>
      <c r="J1337" t="str">
        <f>"23-AFFIDAMENTO DIRETTO"</f>
        <v>23-AFFIDAMENTO DIRETTO</v>
      </c>
      <c r="K1337" t="str">
        <f>"22/03/2021"</f>
        <v>22/03/2021</v>
      </c>
      <c r="L1337" t="str">
        <f>"25/03/2021"</f>
        <v>25/03/2021</v>
      </c>
      <c r="M1337" t="str">
        <f>""</f>
        <v/>
      </c>
      <c r="N1337" t="str">
        <f>"Sorme s.n.c. Via Monache 21 35030 Selvazzano Dentro PD"</f>
        <v>Sorme s.n.c. Via Monache 21 35030 Selvazzano Dentro PD</v>
      </c>
      <c r="O1337" t="str">
        <f>"Sorme s.n.c. Via Monache 21 35030 Selvazzano Dentro PD"</f>
        <v>Sorme s.n.c. Via Monache 21 35030 Selvazzano Dentro PD</v>
      </c>
      <c r="P1337" t="str">
        <f>"Z423118066: [3200.00€ ]"</f>
        <v>Z423118066: [3200.00€ ]</v>
      </c>
      <c r="Q1337" t="str">
        <f>""</f>
        <v/>
      </c>
      <c r="R1337" t="str">
        <f>""</f>
        <v/>
      </c>
      <c r="S1337" t="str">
        <f>""</f>
        <v/>
      </c>
      <c r="T1337" t="str">
        <f>"https://portaletrasparenza.consorziobacchiglione.it/dettagli/attodigara/6721/noleggio-escavatore-cingolato-hitachi-zx135us-per-lavori-presso-scolo-brentella-vecchia-nord.html"</f>
        <v>https://portaletrasparenza.consorziobacchiglione.it/dettagli/attodigara/6721/noleggio-escavatore-cingolato-hitachi-zx135us-per-lavori-presso-scolo-brentella-vecchia-nord.html</v>
      </c>
      <c r="U1337" t="str">
        <f>"https://portaletrasparenza.consorziobacchiglione.it/download/attodigara/6721/63ac456f64305.PDF"</f>
        <v>https://portaletrasparenza.consorziobacchiglione.it/download/attodigara/6721/63ac456f64305.PDF</v>
      </c>
      <c r="V133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38" spans="1:22" x14ac:dyDescent="0.3">
      <c r="A1338" t="str">
        <f>"Affidamento"</f>
        <v>Affidamento</v>
      </c>
      <c r="B1338" t="str">
        <f>"Spostamento escavatore 904 cingolato da Pontelongo (scolo Schilla) a Via Isonzo Campagna Lupia (scolo Brentella)"</f>
        <v>Spostamento escavatore 904 cingolato da Pontelongo (scolo Schilla) a Via Isonzo Campagna Lupia (scolo Brentella)</v>
      </c>
      <c r="C1338" t="str">
        <f>"Z8431170DA"</f>
        <v>Z8431170DA</v>
      </c>
      <c r="D1338" t="str">
        <f>"23/03/2021"</f>
        <v>23/03/2021</v>
      </c>
      <c r="E1338" t="str">
        <f>""</f>
        <v/>
      </c>
      <c r="F1338" t="str">
        <f>""</f>
        <v/>
      </c>
      <c r="G1338" t="str">
        <f>"210.00"</f>
        <v>210.00</v>
      </c>
      <c r="H1338" t="str">
        <f>"Consorzio di bonifica Bacchiglione"</f>
        <v>Consorzio di bonifica Bacchiglione</v>
      </c>
      <c r="I1338" t="str">
        <f>"92223390284"</f>
        <v>92223390284</v>
      </c>
      <c r="J1338" t="str">
        <f>"23-AFFIDAMENTO DIRETTO"</f>
        <v>23-AFFIDAMENTO DIRETTO</v>
      </c>
      <c r="K1338" t="str">
        <f>"22/03/2021"</f>
        <v>22/03/2021</v>
      </c>
      <c r="L1338" t="str">
        <f>"20/04/2021"</f>
        <v>20/04/2021</v>
      </c>
      <c r="M1338" t="str">
        <f>""</f>
        <v/>
      </c>
      <c r="N1338" t="str">
        <f>"Trovò s.r.l. Via Idrovora, 3 - 35020 Codevigo (PD)"</f>
        <v>Trovò s.r.l. Via Idrovora, 3 - 35020 Codevigo (PD)</v>
      </c>
      <c r="O1338" t="str">
        <f>"Trovò s.r.l. Via Idrovora, 3 - 35020 Codevigo (PD)"</f>
        <v>Trovò s.r.l. Via Idrovora, 3 - 35020 Codevigo (PD)</v>
      </c>
      <c r="P1338" t="str">
        <f>"Z8431170DA: [210.00€ ]"</f>
        <v>Z8431170DA: [210.00€ ]</v>
      </c>
      <c r="Q1338" t="str">
        <f>""</f>
        <v/>
      </c>
      <c r="R1338" t="str">
        <f>""</f>
        <v/>
      </c>
      <c r="S1338" t="str">
        <f>""</f>
        <v/>
      </c>
      <c r="T1338" t="str">
        <f>"https://portaletrasparenza.consorziobacchiglione.it/dettagli/attodigara/6718/spostamento-escavatore-904-cingolato-da-pontelongo-scolo-schilla-a-via-isonzo-campagna-lupia-scolo-brentella.html"</f>
        <v>https://portaletrasparenza.consorziobacchiglione.it/dettagli/attodigara/6718/spostamento-escavatore-904-cingolato-da-pontelongo-scolo-schilla-a-via-isonzo-campagna-lupia-scolo-brentella.html</v>
      </c>
      <c r="U1338" t="str">
        <f>"https://portaletrasparenza.consorziobacchiglione.it/download/attodigara/6718/63ac456eaf212.PDF"</f>
        <v>https://portaletrasparenza.consorziobacchiglione.it/download/attodigara/6718/63ac456eaf212.PDF</v>
      </c>
      <c r="V133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39" spans="1:22" x14ac:dyDescent="0.3">
      <c r="A1339" t="str">
        <f>"Affidamento"</f>
        <v>Affidamento</v>
      </c>
      <c r="B1339" t="str">
        <f>"Noleggio Miniescavatore cingolato Yanmar UCR-6A per lavori presso scolo Schilla"</f>
        <v>Noleggio Miniescavatore cingolato Yanmar UCR-6A per lavori presso scolo Schilla</v>
      </c>
      <c r="C1339" t="str">
        <f>"ZCA3116E26"</f>
        <v>ZCA3116E26</v>
      </c>
      <c r="D1339" t="str">
        <f>"23/03/2021"</f>
        <v>23/03/2021</v>
      </c>
      <c r="E1339" t="str">
        <f>""</f>
        <v/>
      </c>
      <c r="F1339" t="str">
        <f>""</f>
        <v/>
      </c>
      <c r="G1339" t="str">
        <f>"1782.00"</f>
        <v>1782.00</v>
      </c>
      <c r="H1339" t="str">
        <f>"Consorzio di bonifica Bacchiglione"</f>
        <v>Consorzio di bonifica Bacchiglione</v>
      </c>
      <c r="I1339" t="str">
        <f>"92223390284"</f>
        <v>92223390284</v>
      </c>
      <c r="J1339" t="str">
        <f>"23-AFFIDAMENTO DIRETTO"</f>
        <v>23-AFFIDAMENTO DIRETTO</v>
      </c>
      <c r="K1339" t="str">
        <f>"22/03/2021"</f>
        <v>22/03/2021</v>
      </c>
      <c r="L1339" t="str">
        <f>"23/04/2021"</f>
        <v>23/04/2021</v>
      </c>
      <c r="M1339" t="str">
        <f>""</f>
        <v/>
      </c>
      <c r="N1339" t="str">
        <f>"Cofiloc SPA Via Postumia ovest 101 loc.Olmi 3148 S.Biagio di Callalta TV"</f>
        <v>Cofiloc SPA Via Postumia ovest 101 loc.Olmi 3148 S.Biagio di Callalta TV</v>
      </c>
      <c r="O1339" t="str">
        <f>"Cofiloc SPA Via Postumia ovest 101 loc.Olmi 3148 S.Biagio di Callalta TV"</f>
        <v>Cofiloc SPA Via Postumia ovest 101 loc.Olmi 3148 S.Biagio di Callalta TV</v>
      </c>
      <c r="P1339" t="str">
        <f>"ZCA3116E26: [1782.00€ ]"</f>
        <v>ZCA3116E26: [1782.00€ ]</v>
      </c>
      <c r="Q1339" t="str">
        <f>""</f>
        <v/>
      </c>
      <c r="R1339" t="str">
        <f>""</f>
        <v/>
      </c>
      <c r="S1339" t="str">
        <f>""</f>
        <v/>
      </c>
      <c r="T1339" t="str">
        <f>"https://portaletrasparenza.consorziobacchiglione.it/dettagli/attodigara/6717/noleggio-miniescavatore-cingolato-yanmar-ucr-6a-per-lavori-presso-scolo-schilla.html"</f>
        <v>https://portaletrasparenza.consorziobacchiglione.it/dettagli/attodigara/6717/noleggio-miniescavatore-cingolato-yanmar-ucr-6a-per-lavori-presso-scolo-schilla.html</v>
      </c>
      <c r="U1339" t="str">
        <f>"https://portaletrasparenza.consorziobacchiglione.it/download/attodigara/6717/63ac456e76dd3.PDF"</f>
        <v>https://portaletrasparenza.consorziobacchiglione.it/download/attodigara/6717/63ac456e76dd3.PDF</v>
      </c>
      <c r="V13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40" spans="1:22" x14ac:dyDescent="0.3">
      <c r="A1340" t="str">
        <f>"Affidamento"</f>
        <v>Affidamento</v>
      </c>
      <c r="B1340" t="str">
        <f>"Noleggio miniescavatore Volvo ECR 88D per lavori presso Scolo Brentella"</f>
        <v>Noleggio miniescavatore Volvo ECR 88D per lavori presso Scolo Brentella</v>
      </c>
      <c r="C1340" t="str">
        <f>"ZD43117E92"</f>
        <v>ZD43117E92</v>
      </c>
      <c r="D1340" t="str">
        <f>"23/03/2021"</f>
        <v>23/03/2021</v>
      </c>
      <c r="E1340" t="str">
        <f>""</f>
        <v/>
      </c>
      <c r="F1340" t="str">
        <f>""</f>
        <v/>
      </c>
      <c r="G1340" t="str">
        <f>"1872.51"</f>
        <v>1872.51</v>
      </c>
      <c r="H1340" t="str">
        <f>"Consorzio di bonifica Bacchiglione"</f>
        <v>Consorzio di bonifica Bacchiglione</v>
      </c>
      <c r="I1340" t="str">
        <f>"92223390284"</f>
        <v>92223390284</v>
      </c>
      <c r="J1340" t="str">
        <f>"23-AFFIDAMENTO DIRETTO"</f>
        <v>23-AFFIDAMENTO DIRETTO</v>
      </c>
      <c r="K1340" t="str">
        <f>"22/03/2021"</f>
        <v>22/03/2021</v>
      </c>
      <c r="L1340" t="str">
        <f>"09/04/2021"</f>
        <v>09/04/2021</v>
      </c>
      <c r="M1340" t="str">
        <f>""</f>
        <v/>
      </c>
      <c r="N1340" t="str">
        <f>"Foredil S.r.l. Via E.Fermi, 22 - 35030 Sarmeola di Rubano (PD)"</f>
        <v>Foredil S.r.l. Via E.Fermi, 22 - 35030 Sarmeola di Rubano (PD)</v>
      </c>
      <c r="O1340" t="str">
        <f>"Foredil S.r.l. Via E.Fermi, 22 - 35030 Sarmeola di Rubano (PD)"</f>
        <v>Foredil S.r.l. Via E.Fermi, 22 - 35030 Sarmeola di Rubano (PD)</v>
      </c>
      <c r="P1340" t="str">
        <f>"ZD43117E92: [1872.50€ ]"</f>
        <v>ZD43117E92: [1872.50€ ]</v>
      </c>
      <c r="Q1340" t="str">
        <f>""</f>
        <v/>
      </c>
      <c r="R1340" t="str">
        <f>""</f>
        <v/>
      </c>
      <c r="S1340" t="str">
        <f>""</f>
        <v/>
      </c>
      <c r="T1340" t="str">
        <f>"https://portaletrasparenza.consorziobacchiglione.it/dettagli/attodigara/6719/noleggio-miniescavatore-volvo-ecr-88d-per-lavori-presso-scolo-brentella.html"</f>
        <v>https://portaletrasparenza.consorziobacchiglione.it/dettagli/attodigara/6719/noleggio-miniescavatore-volvo-ecr-88d-per-lavori-presso-scolo-brentella.html</v>
      </c>
      <c r="U1340" t="str">
        <f>"https://portaletrasparenza.consorziobacchiglione.it/download/attodigara/6719/63ac456ee78c2.PDF"</f>
        <v>https://portaletrasparenza.consorziobacchiglione.it/download/attodigara/6719/63ac456ee78c2.PDF</v>
      </c>
      <c r="V1340">
        <f>(SUBSTITUTE(Tabella1[[#This Row],[Importo di aggiudicazione]],".",","))-(SUBSTITUTE(  SUBSTITUTE(          SUBSTITUTE(Tabella1[[#This Row],[Dettaglio somme liquidate]],Tabella1[[#This Row],[CIG]]&amp;": [",""),"€ ]",""),".",","))</f>
        <v>9.9999999999909051E-3</v>
      </c>
    </row>
    <row r="1341" spans="1:22" x14ac:dyDescent="0.3">
      <c r="A1341" t="str">
        <f>"Affidamento"</f>
        <v>Affidamento</v>
      </c>
      <c r="B1341" t="str">
        <f>"Noleggio miniescavatore Volvo ECR 88D per lavori presso Scolo Scarpa"</f>
        <v>Noleggio miniescavatore Volvo ECR 88D per lavori presso Scolo Scarpa</v>
      </c>
      <c r="C1341" t="str">
        <f>"Z1A3117F6C"</f>
        <v>Z1A3117F6C</v>
      </c>
      <c r="D1341" t="str">
        <f>"23/03/2021"</f>
        <v>23/03/2021</v>
      </c>
      <c r="E1341" t="str">
        <f>""</f>
        <v/>
      </c>
      <c r="F1341" t="str">
        <f>""</f>
        <v/>
      </c>
      <c r="G1341" t="str">
        <f>"2809.25"</f>
        <v>2809.25</v>
      </c>
      <c r="H1341" t="str">
        <f>"Consorzio di bonifica Bacchiglione"</f>
        <v>Consorzio di bonifica Bacchiglione</v>
      </c>
      <c r="I1341" t="str">
        <f>"92223390284"</f>
        <v>92223390284</v>
      </c>
      <c r="J1341" t="str">
        <f>"23-AFFIDAMENTO DIRETTO"</f>
        <v>23-AFFIDAMENTO DIRETTO</v>
      </c>
      <c r="K1341" t="str">
        <f>"22/03/2021"</f>
        <v>22/03/2021</v>
      </c>
      <c r="L1341" t="str">
        <f>"19/04/2021"</f>
        <v>19/04/2021</v>
      </c>
      <c r="M1341" t="str">
        <f>""</f>
        <v/>
      </c>
      <c r="N1341" t="str">
        <f>"Foredil S.r.l. Via E.Fermi, 22 - 35030 Sarmeola di Rubano (PD)"</f>
        <v>Foredil S.r.l. Via E.Fermi, 22 - 35030 Sarmeola di Rubano (PD)</v>
      </c>
      <c r="O1341" t="str">
        <f>"Foredil S.r.l. Via E.Fermi, 22 - 35030 Sarmeola di Rubano (PD)"</f>
        <v>Foredil S.r.l. Via E.Fermi, 22 - 35030 Sarmeola di Rubano (PD)</v>
      </c>
      <c r="P1341" t="str">
        <f>"Z1A3117F6C: [2808.75€ ]"</f>
        <v>Z1A3117F6C: [2808.75€ ]</v>
      </c>
      <c r="Q1341" t="str">
        <f>""</f>
        <v/>
      </c>
      <c r="R1341" t="str">
        <f>""</f>
        <v/>
      </c>
      <c r="S1341" t="str">
        <f>""</f>
        <v/>
      </c>
      <c r="T1341" t="str">
        <f>"https://portaletrasparenza.consorziobacchiglione.it/dettagli/attodigara/6720/noleggio-miniescavatore-volvo-ecr-88d-per-lavori-presso-scolo-scarpa.html"</f>
        <v>https://portaletrasparenza.consorziobacchiglione.it/dettagli/attodigara/6720/noleggio-miniescavatore-volvo-ecr-88d-per-lavori-presso-scolo-scarpa.html</v>
      </c>
      <c r="U1341" t="str">
        <f>"https://portaletrasparenza.consorziobacchiglione.it/download/attodigara/6720/63ac456f2bd4c.PDF"</f>
        <v>https://portaletrasparenza.consorziobacchiglione.it/download/attodigara/6720/63ac456f2bd4c.PDF</v>
      </c>
      <c r="V1341">
        <f>(SUBSTITUTE(Tabella1[[#This Row],[Importo di aggiudicazione]],".",","))-(SUBSTITUTE(  SUBSTITUTE(          SUBSTITUTE(Tabella1[[#This Row],[Dettaglio somme liquidate]],Tabella1[[#This Row],[CIG]]&amp;": [",""),"€ ]",""),".",","))</f>
        <v>0.5</v>
      </c>
    </row>
    <row r="1342" spans="1:22" x14ac:dyDescent="0.3">
      <c r="A1342" t="str">
        <f>"Affidamento"</f>
        <v>Affidamento</v>
      </c>
      <c r="B1342" t="str">
        <f>"Fornitura materiale edile o di ferramenta per bacino Sesta Presa."</f>
        <v>Fornitura materiale edile o di ferramenta per bacino Sesta Presa.</v>
      </c>
      <c r="C1342" t="str">
        <f>"Z07199237B"</f>
        <v>Z07199237B</v>
      </c>
      <c r="D1342" t="str">
        <f>"04/11/2021"</f>
        <v>04/11/2021</v>
      </c>
      <c r="E1342" t="str">
        <f>""</f>
        <v/>
      </c>
      <c r="F1342" t="str">
        <f>""</f>
        <v/>
      </c>
      <c r="G1342" t="str">
        <f>"1005.50"</f>
        <v>1005.50</v>
      </c>
      <c r="H1342" t="str">
        <f>"Consorzio di bonifica Bacchiglione"</f>
        <v>Consorzio di bonifica Bacchiglione</v>
      </c>
      <c r="I1342" t="str">
        <f>"92223390284"</f>
        <v>92223390284</v>
      </c>
      <c r="J1342" t="str">
        <f>"23-AFFIDAMENTO DIRETTO"</f>
        <v>23-AFFIDAMENTO DIRETTO</v>
      </c>
      <c r="K1342" t="str">
        <f>"22/04/2021"</f>
        <v>22/04/2021</v>
      </c>
      <c r="L1342" t="str">
        <f>"15/06/2021"</f>
        <v>15/06/2021</v>
      </c>
      <c r="M1342" t="str">
        <f>""</f>
        <v/>
      </c>
      <c r="N1342" t="str">
        <f>"Gollo Giovanni Via Vallona 65 35020 Conche di Codevigo PD"</f>
        <v>Gollo Giovanni Via Vallona 65 35020 Conche di Codevigo PD</v>
      </c>
      <c r="O1342" t="str">
        <f>"Gollo Giovanni Via Vallona 65 35020 Conche di Codevigo PD"</f>
        <v>Gollo Giovanni Via Vallona 65 35020 Conche di Codevigo PD</v>
      </c>
      <c r="P1342" t="s">
        <v>348</v>
      </c>
      <c r="Q1342" t="str">
        <f>""</f>
        <v/>
      </c>
      <c r="R1342" t="str">
        <f>""</f>
        <v/>
      </c>
      <c r="S1342" t="str">
        <f>""</f>
        <v/>
      </c>
      <c r="T1342" t="str">
        <f>"https://portaletrasparenza.consorziobacchiglione.it/dettagli/attodigara/354/fornitura-materiale-edile-o-di-ferramenta-per-bacino-sesta-presa.html"</f>
        <v>https://portaletrasparenza.consorziobacchiglione.it/dettagli/attodigara/354/fornitura-materiale-edile-o-di-ferramenta-per-bacino-sesta-presa.html</v>
      </c>
      <c r="U1342" t="str">
        <f>""</f>
        <v/>
      </c>
      <c r="V13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43" spans="1:22" x14ac:dyDescent="0.3">
      <c r="A1343" t="str">
        <f>"Affidamento"</f>
        <v>Affidamento</v>
      </c>
      <c r="B1343" t="str">
        <f>"Riparazione e manutenzione mezzo con targa: AJP870."</f>
        <v>Riparazione e manutenzione mezzo con targa: AJP870.</v>
      </c>
      <c r="C1343" t="str">
        <f>"Z2519921C3"</f>
        <v>Z2519921C3</v>
      </c>
      <c r="D1343" t="str">
        <f>"04/11/2021"</f>
        <v>04/11/2021</v>
      </c>
      <c r="E1343" t="str">
        <f>""</f>
        <v/>
      </c>
      <c r="F1343" t="str">
        <f>""</f>
        <v/>
      </c>
      <c r="G1343" t="str">
        <f>"2799.70"</f>
        <v>2799.70</v>
      </c>
      <c r="H1343" t="str">
        <f>"Consorzio di bonifica Bacchiglione"</f>
        <v>Consorzio di bonifica Bacchiglione</v>
      </c>
      <c r="I1343" t="str">
        <f>"92223390284"</f>
        <v>92223390284</v>
      </c>
      <c r="J1343" t="str">
        <f>"23-AFFIDAMENTO DIRETTO"</f>
        <v>23-AFFIDAMENTO DIRETTO</v>
      </c>
      <c r="K1343" t="str">
        <f>"22/04/2021"</f>
        <v>22/04/2021</v>
      </c>
      <c r="L1343" t="str">
        <f>"04/07/2021"</f>
        <v>04/07/2021</v>
      </c>
      <c r="M1343" t="str">
        <f>""</f>
        <v/>
      </c>
      <c r="N1343" t="str">
        <f>"Adriatica Commerciale Macchine s.r.l. Via dell'Artigianato 5 35020 Due Carrare PD"</f>
        <v>Adriatica Commerciale Macchine s.r.l. Via dell'Artigianato 5 35020 Due Carrare PD</v>
      </c>
      <c r="O1343" t="str">
        <f>"Adriatica Commerciale Macchine s.r.l. Via dell'Artigianato 5 35020 Due Carrare PD"</f>
        <v>Adriatica Commerciale Macchine s.r.l. Via dell'Artigianato 5 35020 Due Carrare PD</v>
      </c>
      <c r="P1343" t="str">
        <f>"Z2519921C3: [2799.70€ ]"</f>
        <v>Z2519921C3: [2799.70€ ]</v>
      </c>
      <c r="Q1343" t="str">
        <f>""</f>
        <v/>
      </c>
      <c r="R1343" t="str">
        <f>""</f>
        <v/>
      </c>
      <c r="S1343" t="str">
        <f>""</f>
        <v/>
      </c>
      <c r="T1343" t="str">
        <f>"https://portaletrasparenza.consorziobacchiglione.it/dettagli/attodigara/353/riparazione-e-manutenzione-mezzo-con-targa-ajp870.html"</f>
        <v>https://portaletrasparenza.consorziobacchiglione.it/dettagli/attodigara/353/riparazione-e-manutenzione-mezzo-con-targa-ajp870.html</v>
      </c>
      <c r="U1343" t="str">
        <f>""</f>
        <v/>
      </c>
      <c r="V134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44" spans="1:22" x14ac:dyDescent="0.3">
      <c r="A1344" t="str">
        <f>"Affidamento"</f>
        <v>Affidamento</v>
      </c>
      <c r="B1344" t="str">
        <f>"Servizio di assistenza e manutenzione sistema di telecontrollo e telecomando impianti periodo Aprile - Maggio - Giugno 2016."</f>
        <v>Servizio di assistenza e manutenzione sistema di telecontrollo e telecomando impianti periodo Aprile - Maggio - Giugno 2016.</v>
      </c>
      <c r="C1344" t="str">
        <f>"ZC91991FE2"</f>
        <v>ZC91991FE2</v>
      </c>
      <c r="D1344" t="str">
        <f>"04/11/2021"</f>
        <v>04/11/2021</v>
      </c>
      <c r="E1344" t="str">
        <f>""</f>
        <v/>
      </c>
      <c r="F1344" t="str">
        <f>""</f>
        <v/>
      </c>
      <c r="G1344" t="str">
        <f>"7000.00"</f>
        <v>7000.00</v>
      </c>
      <c r="H1344" t="str">
        <f>"Consorzio di bonifica Bacchiglione"</f>
        <v>Consorzio di bonifica Bacchiglione</v>
      </c>
      <c r="I1344" t="str">
        <f>"92223390284"</f>
        <v>92223390284</v>
      </c>
      <c r="J1344" t="str">
        <f>"23-AFFIDAMENTO DIRETTO"</f>
        <v>23-AFFIDAMENTO DIRETTO</v>
      </c>
      <c r="K1344" t="str">
        <f>"22/04/2021"</f>
        <v>22/04/2021</v>
      </c>
      <c r="L1344" t="str">
        <f>"30/06/2021"</f>
        <v>30/06/2021</v>
      </c>
      <c r="M1344" t="str">
        <f>""</f>
        <v/>
      </c>
      <c r="N1344" t="str">
        <f>"Connet s.r.l. Via Giacomo Leopardi18A 35027 Noventa Padovana PD"</f>
        <v>Connet s.r.l. Via Giacomo Leopardi18A 35027 Noventa Padovana PD</v>
      </c>
      <c r="O1344" t="str">
        <f>"Connet s.r.l. Via Giacomo Leopardi18A 35027 Noventa Padovana PD"</f>
        <v>Connet s.r.l. Via Giacomo Leopardi18A 35027 Noventa Padovana PD</v>
      </c>
      <c r="P1344" t="str">
        <f>"ZC91991FE2: [7000.00€ ]"</f>
        <v>ZC91991FE2: [7000.00€ ]</v>
      </c>
      <c r="Q1344" t="str">
        <f>""</f>
        <v/>
      </c>
      <c r="R1344" t="str">
        <f>""</f>
        <v/>
      </c>
      <c r="S1344" t="str">
        <f>""</f>
        <v/>
      </c>
      <c r="T1344" t="str">
        <f>"https://portaletrasparenza.consorziobacchiglione.it/dettagli/attodigara/352/servizio-di-assistenza-e-manutenzione-sistema-di-telecontrollo-e-telecomando-impianti-periodo-aprile-maggio-giugno-2016.html"</f>
        <v>https://portaletrasparenza.consorziobacchiglione.it/dettagli/attodigara/352/servizio-di-assistenza-e-manutenzione-sistema-di-telecontrollo-e-telecomando-impianti-periodo-aprile-maggio-giugno-2016.html</v>
      </c>
      <c r="U1344" t="str">
        <f>""</f>
        <v/>
      </c>
      <c r="V134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45" spans="1:22" x14ac:dyDescent="0.3">
      <c r="A1345" t="str">
        <f>"Affidamento"</f>
        <v>Affidamento</v>
      </c>
      <c r="B1345" t="str">
        <f>"Lavori principali"</f>
        <v>Lavori principali</v>
      </c>
      <c r="C1345" t="str">
        <f>"ZEF3175633"</f>
        <v>ZEF3175633</v>
      </c>
      <c r="D1345" t="str">
        <f>"22/04/2021"</f>
        <v>22/04/2021</v>
      </c>
      <c r="E1345" t="str">
        <f>""</f>
        <v/>
      </c>
      <c r="F1345" t="str">
        <f>""</f>
        <v/>
      </c>
      <c r="G1345" t="str">
        <f>"34866.98"</f>
        <v>34866.98</v>
      </c>
      <c r="H1345" t="str">
        <f>"Consorzio di bonifica Bacchiglione"</f>
        <v>Consorzio di bonifica Bacchiglione</v>
      </c>
      <c r="I1345" t="str">
        <f>"92223390284"</f>
        <v>92223390284</v>
      </c>
      <c r="J1345" t="str">
        <f>"23-AFFIDAMENTO DIRETTO"</f>
        <v>23-AFFIDAMENTO DIRETTO</v>
      </c>
      <c r="K1345" t="str">
        <f>"22/04/2021"</f>
        <v>22/04/2021</v>
      </c>
      <c r="L1345" t="str">
        <f>"11/08/2021"</f>
        <v>11/08/2021</v>
      </c>
      <c r="M1345" t="str">
        <f>""</f>
        <v/>
      </c>
      <c r="N1345" t="str">
        <f>"Martini Luciano s.r.l. | La Cittadella s.n.c. di Ferrara Andrea E C. | CO.GI.PA. S.R.L."</f>
        <v>Martini Luciano s.r.l. | La Cittadella s.n.c. di Ferrara Andrea E C. | CO.GI.PA. S.R.L.</v>
      </c>
      <c r="O1345" t="str">
        <f>"La Cittadella s.n.c. di Ferrara Andrea E C."</f>
        <v>La Cittadella s.n.c. di Ferrara Andrea E C.</v>
      </c>
      <c r="P1345" t="str">
        <f>"ZEF3175633: [34866.98€ ]"</f>
        <v>ZEF3175633: [34866.98€ ]</v>
      </c>
      <c r="Q1345" t="str">
        <f>""</f>
        <v/>
      </c>
      <c r="R1345" t="str">
        <f>""</f>
        <v/>
      </c>
      <c r="S1345" t="str">
        <f>""</f>
        <v/>
      </c>
      <c r="T1345" t="str">
        <f>"https://portaletrasparenza.consorziobacchiglione.it/dettagli/attodigara/6822/lavori-principali.html"</f>
        <v>https://portaletrasparenza.consorziobacchiglione.it/dettagli/attodigara/6822/lavori-principali.html</v>
      </c>
      <c r="U1345" t="str">
        <f>"https://portaletrasparenza.consorziobacchiglione.it/download/attodigara/6822/63ac45827564d.PDF"</f>
        <v>https://portaletrasparenza.consorziobacchiglione.it/download/attodigara/6822/63ac45827564d.PDF</v>
      </c>
      <c r="V134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46" spans="1:22" x14ac:dyDescent="0.3">
      <c r="A1346" t="str">
        <f>"Affidamento"</f>
        <v>Affidamento</v>
      </c>
      <c r="B1346" t="str">
        <f>"Riparazione e manutenzione mezzo con targa: FT040WG"</f>
        <v>Riparazione e manutenzione mezzo con targa: FT040WG</v>
      </c>
      <c r="C1346" t="str">
        <f>"ZD43174DF1"</f>
        <v>ZD43174DF1</v>
      </c>
      <c r="D1346" t="str">
        <f>"22/04/2021"</f>
        <v>22/04/2021</v>
      </c>
      <c r="E1346" t="str">
        <f>""</f>
        <v/>
      </c>
      <c r="F1346" t="str">
        <f>""</f>
        <v/>
      </c>
      <c r="G1346" t="str">
        <f>"598.32"</f>
        <v>598.32</v>
      </c>
      <c r="H1346" t="str">
        <f>"Consorzio di bonifica Bacchiglione"</f>
        <v>Consorzio di bonifica Bacchiglione</v>
      </c>
      <c r="I1346" t="str">
        <f>"92223390284"</f>
        <v>92223390284</v>
      </c>
      <c r="J1346" t="str">
        <f>"23-AFFIDAMENTO DIRETTO"</f>
        <v>23-AFFIDAMENTO DIRETTO</v>
      </c>
      <c r="K1346" t="str">
        <f>"22/04/2021"</f>
        <v>22/04/2021</v>
      </c>
      <c r="L1346" t="str">
        <f>"31/05/2021"</f>
        <v>31/05/2021</v>
      </c>
      <c r="M1346" t="str">
        <f>""</f>
        <v/>
      </c>
      <c r="N1346" t="str">
        <f>"Autoriparazioni Ravazzolo s.r.l. Via Roma 259a 35030 Montemerlo di Cervarese Santa Croce PD"</f>
        <v>Autoriparazioni Ravazzolo s.r.l. Via Roma 259a 35030 Montemerlo di Cervarese Santa Croce PD</v>
      </c>
      <c r="O1346" t="str">
        <f>"Autoriparazioni Ravazzolo s.r.l. Via Roma 259a 35030 Montemerlo di Cervarese Santa Croce PD"</f>
        <v>Autoriparazioni Ravazzolo s.r.l. Via Roma 259a 35030 Montemerlo di Cervarese Santa Croce PD</v>
      </c>
      <c r="P1346" t="str">
        <f>"ZD43174DF1: [598.32€ ]"</f>
        <v>ZD43174DF1: [598.32€ ]</v>
      </c>
      <c r="Q1346" t="str">
        <f>""</f>
        <v/>
      </c>
      <c r="R1346" t="str">
        <f>""</f>
        <v/>
      </c>
      <c r="S1346" t="str">
        <f>""</f>
        <v/>
      </c>
      <c r="T1346" t="str">
        <f>"https://portaletrasparenza.consorziobacchiglione.it/dettagli/attodigara/6821/riparazione-e-manutenzione-mezzo-con-targa-ft040wg.html"</f>
        <v>https://portaletrasparenza.consorziobacchiglione.it/dettagli/attodigara/6821/riparazione-e-manutenzione-mezzo-con-targa-ft040wg.html</v>
      </c>
      <c r="U1346" t="str">
        <f>"https://portaletrasparenza.consorziobacchiglione.it/download/attodigara/6821/63ac45823cc42.PDF"</f>
        <v>https://portaletrasparenza.consorziobacchiglione.it/download/attodigara/6821/63ac45823cc42.PDF</v>
      </c>
      <c r="V13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47" spans="1:22" x14ac:dyDescent="0.3">
      <c r="A1347" t="str">
        <f>"Affidamento"</f>
        <v>Affidamento</v>
      </c>
      <c r="B1347" t="str">
        <f>"Manutenzione G.E presso Idrovora di Bovolenta"</f>
        <v>Manutenzione G.E presso Idrovora di Bovolenta</v>
      </c>
      <c r="C1347" t="str">
        <f>"Z7D31783F3"</f>
        <v>Z7D31783F3</v>
      </c>
      <c r="D1347" t="str">
        <f>"23/04/2021"</f>
        <v>23/04/2021</v>
      </c>
      <c r="E1347" t="str">
        <f>""</f>
        <v/>
      </c>
      <c r="F1347" t="str">
        <f>""</f>
        <v/>
      </c>
      <c r="G1347" t="str">
        <f>"7700.00"</f>
        <v>7700.00</v>
      </c>
      <c r="H1347" t="str">
        <f>"Consorzio di bonifica Bacchiglione"</f>
        <v>Consorzio di bonifica Bacchiglione</v>
      </c>
      <c r="I1347" t="str">
        <f>"92223390284"</f>
        <v>92223390284</v>
      </c>
      <c r="J1347" t="str">
        <f>"23-AFFIDAMENTO DIRETTO"</f>
        <v>23-AFFIDAMENTO DIRETTO</v>
      </c>
      <c r="K1347" t="str">
        <f>"22/04/2021"</f>
        <v>22/04/2021</v>
      </c>
      <c r="L1347" t="str">
        <f>"21/05/2021"</f>
        <v>21/05/2021</v>
      </c>
      <c r="M1347" t="str">
        <f>""</f>
        <v/>
      </c>
      <c r="N1347" t="str">
        <f>"Italmotori S.r.l. Corso Milano 83 35139 Padova"</f>
        <v>Italmotori S.r.l. Corso Milano 83 35139 Padova</v>
      </c>
      <c r="O1347" t="str">
        <f>"Italmotori S.r.l. Corso Milano 83 35139 Padova"</f>
        <v>Italmotori S.r.l. Corso Milano 83 35139 Padova</v>
      </c>
      <c r="P1347" t="str">
        <f>"Z7D31783F3: [7700.00€ ]"</f>
        <v>Z7D31783F3: [7700.00€ ]</v>
      </c>
      <c r="Q1347" t="str">
        <f>""</f>
        <v/>
      </c>
      <c r="R1347" t="str">
        <f>""</f>
        <v/>
      </c>
      <c r="S1347" t="str">
        <f>""</f>
        <v/>
      </c>
      <c r="T1347" t="str">
        <f>"https://portaletrasparenza.consorziobacchiglione.it/dettagli/attodigara/6825/manutenzione-g-e-presso-idrovora-di-bovolenta.html"</f>
        <v>https://portaletrasparenza.consorziobacchiglione.it/dettagli/attodigara/6825/manutenzione-g-e-presso-idrovora-di-bovolenta.html</v>
      </c>
      <c r="U1347" t="str">
        <f>"https://portaletrasparenza.consorziobacchiglione.it/download/attodigara/6825/63ac45832aced.PDF"</f>
        <v>https://portaletrasparenza.consorziobacchiglione.it/download/attodigara/6825/63ac45832aced.PDF</v>
      </c>
      <c r="V134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48" spans="1:22" x14ac:dyDescent="0.3">
      <c r="A1348" t="str">
        <f>"Affidamento"</f>
        <v>Affidamento</v>
      </c>
      <c r="B1348" t="str">
        <f>"Manutenzione G.E presso Idrovora Maestro, Cambroso, Madonnetta, Ponte di Riva"</f>
        <v>Manutenzione G.E presso Idrovora Maestro, Cambroso, Madonnetta, Ponte di Riva</v>
      </c>
      <c r="C1348" t="str">
        <f>"Z76317830B"</f>
        <v>Z76317830B</v>
      </c>
      <c r="D1348" t="str">
        <f>"23/04/2021"</f>
        <v>23/04/2021</v>
      </c>
      <c r="E1348" t="str">
        <f>""</f>
        <v/>
      </c>
      <c r="F1348" t="str">
        <f>""</f>
        <v/>
      </c>
      <c r="G1348" t="str">
        <f>"1328.10"</f>
        <v>1328.10</v>
      </c>
      <c r="H1348" t="str">
        <f>"Consorzio di bonifica Bacchiglione"</f>
        <v>Consorzio di bonifica Bacchiglione</v>
      </c>
      <c r="I1348" t="str">
        <f>"92223390284"</f>
        <v>92223390284</v>
      </c>
      <c r="J1348" t="str">
        <f>"23-AFFIDAMENTO DIRETTO"</f>
        <v>23-AFFIDAMENTO DIRETTO</v>
      </c>
      <c r="K1348" t="str">
        <f>"22/04/2021"</f>
        <v>22/04/2021</v>
      </c>
      <c r="L1348" t="str">
        <f>"30/04/2021"</f>
        <v>30/04/2021</v>
      </c>
      <c r="M1348" t="str">
        <f>""</f>
        <v/>
      </c>
      <c r="N1348" t="str">
        <f>"Italmotori S.r.l. Corso Milano 83 35139 Padova"</f>
        <v>Italmotori S.r.l. Corso Milano 83 35139 Padova</v>
      </c>
      <c r="O1348" t="str">
        <f>"Italmotori S.r.l. Corso Milano 83 35139 Padova"</f>
        <v>Italmotori S.r.l. Corso Milano 83 35139 Padova</v>
      </c>
      <c r="P1348" t="str">
        <f>"Z76317830B: [1328.10€ ]"</f>
        <v>Z76317830B: [1328.10€ ]</v>
      </c>
      <c r="Q1348" t="str">
        <f>""</f>
        <v/>
      </c>
      <c r="R1348" t="str">
        <f>""</f>
        <v/>
      </c>
      <c r="S1348" t="str">
        <f>""</f>
        <v/>
      </c>
      <c r="T1348" t="str">
        <f>"https://portaletrasparenza.consorziobacchiglione.it/dettagli/attodigara/6824/manutenzione-g-e-presso-idrovora-maestro-cambroso-madonnetta-ponte-di-riva.html"</f>
        <v>https://portaletrasparenza.consorziobacchiglione.it/dettagli/attodigara/6824/manutenzione-g-e-presso-idrovora-maestro-cambroso-madonnetta-ponte-di-riva.html</v>
      </c>
      <c r="U1348" t="str">
        <f>"https://portaletrasparenza.consorziobacchiglione.it/download/attodigara/6824/63ac4582e6432.PDF"</f>
        <v>https://portaletrasparenza.consorziobacchiglione.it/download/attodigara/6824/63ac4582e6432.PDF</v>
      </c>
      <c r="V13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49" spans="1:22" x14ac:dyDescent="0.3">
      <c r="A1349" t="str">
        <f>"Affidamento"</f>
        <v>Affidamento</v>
      </c>
      <c r="B1349" t="str">
        <f>"Aumento a kW 501,00 della potenza disponibile per la fornitura di energia elettrica all'idrovora \'Terminale Idrovia\' POD IT001E32140710."</f>
        <v>Aumento a kW 501,00 della potenza disponibile per la fornitura di energia elettrica all'idrovora \'Terminale Idrovia\' POD IT001E32140710.</v>
      </c>
      <c r="C1349" t="str">
        <f>"Z68317776D"</f>
        <v>Z68317776D</v>
      </c>
      <c r="D1349" t="str">
        <f>"23/04/2021"</f>
        <v>23/04/2021</v>
      </c>
      <c r="E1349" t="str">
        <f>""</f>
        <v/>
      </c>
      <c r="F1349" t="str">
        <f>""</f>
        <v/>
      </c>
      <c r="G1349" t="str">
        <f>"82.05"</f>
        <v>82.05</v>
      </c>
      <c r="H1349" t="str">
        <f>"Consorzio di bonifica Bacchiglione"</f>
        <v>Consorzio di bonifica Bacchiglione</v>
      </c>
      <c r="I1349" t="str">
        <f>"92223390284"</f>
        <v>92223390284</v>
      </c>
      <c r="J1349" t="str">
        <f>"23-AFFIDAMENTO DIRETTO"</f>
        <v>23-AFFIDAMENTO DIRETTO</v>
      </c>
      <c r="K1349" t="str">
        <f>"22/04/2021"</f>
        <v>22/04/2021</v>
      </c>
      <c r="L1349" t="str">
        <f>"14/07/2021"</f>
        <v>14/07/2021</v>
      </c>
      <c r="M1349" t="str">
        <f>""</f>
        <v/>
      </c>
      <c r="N1349" t="str">
        <f>"NOVA AEG S.p.A. Via Nelson Mandela, 4 - 13100 Vercelli (VC)"</f>
        <v>NOVA AEG S.p.A. Via Nelson Mandela, 4 - 13100 Vercelli (VC)</v>
      </c>
      <c r="O1349" t="str">
        <f>"NOVA AEG S.p.A. Via Nelson Mandela, 4 - 13100 Vercelli (VC)"</f>
        <v>NOVA AEG S.p.A. Via Nelson Mandela, 4 - 13100 Vercelli (VC)</v>
      </c>
      <c r="P1349" t="str">
        <f>"Z68317776D: [82.05€ ]"</f>
        <v>Z68317776D: [82.05€ ]</v>
      </c>
      <c r="Q1349" t="str">
        <f>""</f>
        <v/>
      </c>
      <c r="R1349" t="str">
        <f>""</f>
        <v/>
      </c>
      <c r="S1349" t="str">
        <f>""</f>
        <v/>
      </c>
      <c r="T1349" t="str">
        <f>"https://portaletrasparenza.consorziobacchiglione.it/dettagli/attodigara/6823/aumento-a-kw-501-00-della-potenza-disponibile-per-la-fornitura-di-energia-elettrica-all-idrovora-terminale-idrovia-pod-it001e32140710.html"</f>
        <v>https://portaletrasparenza.consorziobacchiglione.it/dettagli/attodigara/6823/aumento-a-kw-501-00-della-potenza-disponibile-per-la-fornitura-di-energia-elettrica-all-idrovora-terminale-idrovia-pod-it001e32140710.html</v>
      </c>
      <c r="U1349" t="str">
        <f>"https://portaletrasparenza.consorziobacchiglione.it/download/attodigara/6823/63ac4582ada98.PDF"</f>
        <v>https://portaletrasparenza.consorziobacchiglione.it/download/attodigara/6823/63ac4582ada98.PDF</v>
      </c>
      <c r="V13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50" spans="1:22" x14ac:dyDescent="0.3">
      <c r="A1350" t="str">
        <f>"Affidamento"</f>
        <v>Affidamento</v>
      </c>
      <c r="B1350" t="str">
        <f>"Lavori di fornitura e posa cavidotto, competo di n.2 pozzetti e manufatto alloggiamento cassetta ENEL, necessario per l'alimentazione elettrica all'impianto di protezione catodica. - Processo ID 007-03."</f>
        <v>Lavori di fornitura e posa cavidotto, competo di n.2 pozzetti e manufatto alloggiamento cassetta ENEL, necessario per l'alimentazione elettrica all'impianto di protezione catodica. - Processo ID 007-03.</v>
      </c>
      <c r="C1350" t="str">
        <f>"ZB11A64058"</f>
        <v>ZB11A64058</v>
      </c>
      <c r="D1350" t="str">
        <f>"04/11/2021"</f>
        <v>04/11/2021</v>
      </c>
      <c r="E1350" t="str">
        <f>""</f>
        <v/>
      </c>
      <c r="F1350" t="str">
        <f>""</f>
        <v/>
      </c>
      <c r="G1350" t="str">
        <f>"2025.00"</f>
        <v>2025.00</v>
      </c>
      <c r="H1350" t="str">
        <f>"Consorzio di bonifica Bacchiglione"</f>
        <v>Consorzio di bonifica Bacchiglione</v>
      </c>
      <c r="I1350" t="str">
        <f>"92223390284"</f>
        <v>92223390284</v>
      </c>
      <c r="J1350" t="str">
        <f>"23-AFFIDAMENTO DIRETTO"</f>
        <v>23-AFFIDAMENTO DIRETTO</v>
      </c>
      <c r="K1350" t="str">
        <f>"22/06/2021"</f>
        <v>22/06/2021</v>
      </c>
      <c r="L1350" t="str">
        <f>"16/08/2021"</f>
        <v>16/08/2021</v>
      </c>
      <c r="M1350" t="str">
        <f>""</f>
        <v/>
      </c>
      <c r="N1350" t="str">
        <f>"Costruzioni Ing. Carlo Broetto s.r.l. con Unico Socio"</f>
        <v>Costruzioni Ing. Carlo Broetto s.r.l. con Unico Socio</v>
      </c>
      <c r="O1350" t="str">
        <f>"Costruzioni Ing. Carlo Broetto s.r.l. con Unico Socio"</f>
        <v>Costruzioni Ing. Carlo Broetto s.r.l. con Unico Socio</v>
      </c>
      <c r="P1350" t="str">
        <f>"ZB11A64058: [2025.00€ ]"</f>
        <v>ZB11A64058: [2025.00€ ]</v>
      </c>
      <c r="Q1350" t="str">
        <f>""</f>
        <v/>
      </c>
      <c r="R1350" t="str">
        <f>""</f>
        <v/>
      </c>
      <c r="S1350" t="str">
        <f>""</f>
        <v/>
      </c>
      <c r="T1350" t="s">
        <v>45</v>
      </c>
      <c r="U1350" t="str">
        <f>""</f>
        <v/>
      </c>
      <c r="V135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51" spans="1:22" x14ac:dyDescent="0.3">
      <c r="A1351" t="str">
        <f>"Affidamento"</f>
        <v>Affidamento</v>
      </c>
      <c r="B1351" t="str">
        <f>"Manutenzione e riparazione mezzo con targa: PDB49360"</f>
        <v>Manutenzione e riparazione mezzo con targa: PDB49360</v>
      </c>
      <c r="C1351" t="str">
        <f>"Z841ABC7C7"</f>
        <v>Z841ABC7C7</v>
      </c>
      <c r="D1351" t="str">
        <f>"04/11/2021"</f>
        <v>04/11/2021</v>
      </c>
      <c r="E1351" t="str">
        <f>""</f>
        <v/>
      </c>
      <c r="F1351" t="str">
        <f>""</f>
        <v/>
      </c>
      <c r="G1351" t="str">
        <f>"1027.50"</f>
        <v>1027.50</v>
      </c>
      <c r="H1351" t="str">
        <f>"Consorzio di bonifica Bacchiglione"</f>
        <v>Consorzio di bonifica Bacchiglione</v>
      </c>
      <c r="I1351" t="str">
        <f>"92223390284"</f>
        <v>92223390284</v>
      </c>
      <c r="J1351" t="str">
        <f>"23-AFFIDAMENTO DIRETTO"</f>
        <v>23-AFFIDAMENTO DIRETTO</v>
      </c>
      <c r="K1351" t="str">
        <f>"22/07/2021"</f>
        <v>22/07/2021</v>
      </c>
      <c r="L1351" t="str">
        <f>"26/08/2021"</f>
        <v>26/08/2021</v>
      </c>
      <c r="M1351" t="str">
        <f>""</f>
        <v/>
      </c>
      <c r="N1351" t="str">
        <f>"Elettrodiesel Peruzzo s.r.l. Via Tevere 30 35135 Padova"</f>
        <v>Elettrodiesel Peruzzo s.r.l. Via Tevere 30 35135 Padova</v>
      </c>
      <c r="O1351" t="str">
        <f>"Elettrodiesel Peruzzo s.r.l. Via Tevere 30 35135 Padova"</f>
        <v>Elettrodiesel Peruzzo s.r.l. Via Tevere 30 35135 Padova</v>
      </c>
      <c r="P1351" t="str">
        <f>"Z841ABC7C7: [1027.50€ ]"</f>
        <v>Z841ABC7C7: [1027.50€ ]</v>
      </c>
      <c r="Q1351" t="str">
        <f>""</f>
        <v/>
      </c>
      <c r="R1351" t="str">
        <f>""</f>
        <v/>
      </c>
      <c r="S1351" t="str">
        <f>""</f>
        <v/>
      </c>
      <c r="T1351" t="str">
        <f>"https://portaletrasparenza.consorziobacchiglione.it/dettagli/attodigara/612/manutenzione-e-riparazione-mezzo-con-targa-pdb49360.html"</f>
        <v>https://portaletrasparenza.consorziobacchiglione.it/dettagli/attodigara/612/manutenzione-e-riparazione-mezzo-con-targa-pdb49360.html</v>
      </c>
      <c r="U1351" t="str">
        <f>""</f>
        <v/>
      </c>
      <c r="V135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52" spans="1:22" x14ac:dyDescent="0.3">
      <c r="A1352" t="str">
        <f>"Affidamento"</f>
        <v>Affidamento</v>
      </c>
      <c r="B1352" t="str">
        <f>"Fornitura n 10 contaore digit. Per paratoie varie."</f>
        <v>Fornitura n 10 contaore digit. Per paratoie varie.</v>
      </c>
      <c r="C1352" t="str">
        <f>"Z391ABC43B"</f>
        <v>Z391ABC43B</v>
      </c>
      <c r="D1352" t="str">
        <f>"04/11/2021"</f>
        <v>04/11/2021</v>
      </c>
      <c r="E1352" t="str">
        <f>""</f>
        <v/>
      </c>
      <c r="F1352" t="str">
        <f>""</f>
        <v/>
      </c>
      <c r="G1352" t="str">
        <f>"510.35"</f>
        <v>510.35</v>
      </c>
      <c r="H1352" t="str">
        <f>"Consorzio di bonifica Bacchiglione"</f>
        <v>Consorzio di bonifica Bacchiglione</v>
      </c>
      <c r="I1352" t="str">
        <f>"92223390284"</f>
        <v>92223390284</v>
      </c>
      <c r="J1352" t="str">
        <f>"23-AFFIDAMENTO DIRETTO"</f>
        <v>23-AFFIDAMENTO DIRETTO</v>
      </c>
      <c r="K1352" t="str">
        <f>"22/07/2021"</f>
        <v>22/07/2021</v>
      </c>
      <c r="L1352" t="str">
        <f>"09/11/2021"</f>
        <v>09/11/2021</v>
      </c>
      <c r="M1352" t="str">
        <f>""</f>
        <v/>
      </c>
      <c r="N1352" t="str">
        <f>"Elettroveneta S.p.A. Viale della Navigazione Interna, 48 - 35129 Padova (PD) | Sonepar Italia Nord S.p.A. Riviera Maestri del lavoro 24 35127 Padova | Marchiol S.P.A. Viale della Repubblica 41 31020 sede legale Villorba TV"</f>
        <v>Elettroveneta S.p.A. Viale della Navigazione Interna, 48 - 35129 Padova (PD) | Sonepar Italia Nord S.p.A. Riviera Maestri del lavoro 24 35127 Padova | Marchiol S.P.A. Viale della Repubblica 41 31020 sede legale Villorba TV</v>
      </c>
      <c r="O1352" t="str">
        <f>"Elettroveneta S.p.A. Viale della Navigazione Interna, 48 - 35129 Padova (PD)"</f>
        <v>Elettroveneta S.p.A. Viale della Navigazione Interna, 48 - 35129 Padova (PD)</v>
      </c>
      <c r="P1352" t="str">
        <f>"Z391ABC43B: [510.35€ ]"</f>
        <v>Z391ABC43B: [510.35€ ]</v>
      </c>
      <c r="Q1352" t="str">
        <f>""</f>
        <v/>
      </c>
      <c r="R1352" t="str">
        <f>""</f>
        <v/>
      </c>
      <c r="S1352" t="str">
        <f>""</f>
        <v/>
      </c>
      <c r="T1352" t="str">
        <f>"https://portaletrasparenza.consorziobacchiglione.it/dettagli/attodigara/611/fornitura-n-10-contaore-digit-per-paratoie-varie.html"</f>
        <v>https://portaletrasparenza.consorziobacchiglione.it/dettagli/attodigara/611/fornitura-n-10-contaore-digit-per-paratoie-varie.html</v>
      </c>
      <c r="U1352" t="str">
        <f>""</f>
        <v/>
      </c>
      <c r="V13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53" spans="1:22" x14ac:dyDescent="0.3">
      <c r="A1353" t="str">
        <f>"Affidamento"</f>
        <v>Affidamento</v>
      </c>
      <c r="B1353" t="str">
        <f>"Acquisto di due lettori codice a barre e qr code per avviare la gestione informatizzata degli avvisi di pagamento non recapitati."</f>
        <v>Acquisto di due lettori codice a barre e qr code per avviare la gestione informatizzata degli avvisi di pagamento non recapitati.</v>
      </c>
      <c r="C1353" t="str">
        <f>"Z68328D6D5"</f>
        <v>Z68328D6D5</v>
      </c>
      <c r="D1353" t="str">
        <f>"22/07/2021"</f>
        <v>22/07/2021</v>
      </c>
      <c r="E1353" t="str">
        <f>""</f>
        <v/>
      </c>
      <c r="F1353" t="str">
        <f>""</f>
        <v/>
      </c>
      <c r="G1353" t="str">
        <f>"514.54"</f>
        <v>514.54</v>
      </c>
      <c r="H1353" t="str">
        <f>"Consorzio di bonifica Bacchiglione"</f>
        <v>Consorzio di bonifica Bacchiglione</v>
      </c>
      <c r="I1353" t="str">
        <f>"92223390284"</f>
        <v>92223390284</v>
      </c>
      <c r="J1353" t="str">
        <f>"23-AFFIDAMENTO DIRETTO"</f>
        <v>23-AFFIDAMENTO DIRETTO</v>
      </c>
      <c r="K1353" t="str">
        <f>"22/07/2021"</f>
        <v>22/07/2021</v>
      </c>
      <c r="L1353" t="str">
        <f>"07/09/2021"</f>
        <v>07/09/2021</v>
      </c>
      <c r="M1353" t="str">
        <f>""</f>
        <v/>
      </c>
      <c r="N1353" t="str">
        <f>"PRINT E SCAN SERVICE DI CROTTI FRANCO"</f>
        <v>PRINT E SCAN SERVICE DI CROTTI FRANCO</v>
      </c>
      <c r="O1353" t="str">
        <f>"PRINT E SCAN SERVICE DI CROTTI FRANCO"</f>
        <v>PRINT E SCAN SERVICE DI CROTTI FRANCO</v>
      </c>
      <c r="P1353" t="str">
        <f>"Z68328D6D5: [514.54€ ]"</f>
        <v>Z68328D6D5: [514.54€ ]</v>
      </c>
      <c r="Q1353" t="str">
        <f>""</f>
        <v/>
      </c>
      <c r="R1353" t="str">
        <f>""</f>
        <v/>
      </c>
      <c r="S1353" t="str">
        <f>""</f>
        <v/>
      </c>
      <c r="T1353" t="str">
        <f>"https://portaletrasparenza.consorziobacchiglione.it/dettagli/attodigara/7015/acquisto-di-due-lettori-codice-a-barre-e-qr-code-per-avviare-la-gestione-informatizzata-degli-avvisi-di-pagamento-non-recapitati.html"</f>
        <v>https://portaletrasparenza.consorziobacchiglione.it/dettagli/attodigara/7015/acquisto-di-due-lettori-codice-a-barre-e-qr-code-per-avviare-la-gestione-informatizzata-degli-avvisi-di-pagamento-non-recapitati.html</v>
      </c>
      <c r="U1353" t="str">
        <f>"https://portaletrasparenza.consorziobacchiglione.it/download/attodigara/7015/63ac45a91e337.PDF"</f>
        <v>https://portaletrasparenza.consorziobacchiglione.it/download/attodigara/7015/63ac45a91e337.PDF</v>
      </c>
      <c r="V13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54" spans="1:22" x14ac:dyDescent="0.3">
      <c r="A1354" t="str">
        <f>"Affidamento"</f>
        <v>Affidamento</v>
      </c>
      <c r="B1354" t="str">
        <f>"APPROVAZIONE PROCEDURA AFFIDAMENTO DIRETTO DI FORNITURE . ACQUISTO DISTRUGGI DOCUMENTI PER SETTORE CATASTO."</f>
        <v>APPROVAZIONE PROCEDURA AFFIDAMENTO DIRETTO DI FORNITURE . ACQUISTO DISTRUGGI DOCUMENTI PER SETTORE CATASTO.</v>
      </c>
      <c r="C1354" t="str">
        <f>"ZD9328D8DB"</f>
        <v>ZD9328D8DB</v>
      </c>
      <c r="D1354" t="str">
        <f>"22/07/2021"</f>
        <v>22/07/2021</v>
      </c>
      <c r="E1354" t="str">
        <f>""</f>
        <v/>
      </c>
      <c r="F1354" t="str">
        <f>""</f>
        <v/>
      </c>
      <c r="G1354" t="str">
        <f>"385.00"</f>
        <v>385.00</v>
      </c>
      <c r="H1354" t="str">
        <f>"CONSORZIO DI BONIFICA BACCHIGLIONE"</f>
        <v>CONSORZIO DI BONIFICA BACCHIGLIONE</v>
      </c>
      <c r="I1354" t="str">
        <f>"92223390284"</f>
        <v>92223390284</v>
      </c>
      <c r="J1354" t="str">
        <f>"23-AFFIDAMENTO DIRETTO"</f>
        <v>23-AFFIDAMENTO DIRETTO</v>
      </c>
      <c r="K1354" t="str">
        <f>"22/07/2021"</f>
        <v>22/07/2021</v>
      </c>
      <c r="L1354" t="str">
        <f>"31/12/2021"</f>
        <v>31/12/2021</v>
      </c>
      <c r="M1354" t="str">
        <f>""</f>
        <v/>
      </c>
      <c r="N1354" t="str">
        <f>"GBR ROSSETTO S.P.A."</f>
        <v>GBR ROSSETTO S.P.A.</v>
      </c>
      <c r="O1354" t="str">
        <f>"GBR ROSSETTO S.P.A."</f>
        <v>GBR ROSSETTO S.P.A.</v>
      </c>
      <c r="P1354" t="str">
        <f>"ZD9328D8DB: [0.00€ ]"</f>
        <v>ZD9328D8DB: [0.00€ ]</v>
      </c>
      <c r="Q1354" t="str">
        <f>""</f>
        <v/>
      </c>
      <c r="R1354" t="str">
        <f>""</f>
        <v/>
      </c>
      <c r="S1354" t="str">
        <f>""</f>
        <v/>
      </c>
      <c r="T1354" t="str">
        <f>"https://portaletrasparenza.consorziobacchiglione.it/dettagli/attodigara/7387/approvazione-procedura-affidamento-diretto-di-forniture-acquisto-distruggi-documenti-per-settore-catasto.html"</f>
        <v>https://portaletrasparenza.consorziobacchiglione.it/dettagli/attodigara/7387/approvazione-procedura-affidamento-diretto-di-forniture-acquisto-distruggi-documenti-per-settore-catasto.html</v>
      </c>
      <c r="U1354" t="str">
        <f>"https://portaletrasparenza.consorziobacchiglione.it/download/attodigara/7387/62a20a3d2a7e2.PDF"</f>
        <v>https://portaletrasparenza.consorziobacchiglione.it/download/attodigara/7387/62a20a3d2a7e2.PDF</v>
      </c>
      <c r="V1354">
        <f>(SUBSTITUTE(Tabella1[[#This Row],[Importo di aggiudicazione]],".",","))-(SUBSTITUTE(  SUBSTITUTE(          SUBSTITUTE(Tabella1[[#This Row],[Dettaglio somme liquidate]],Tabella1[[#This Row],[CIG]]&amp;": [",""),"€ ]",""),".",","))</f>
        <v>385</v>
      </c>
    </row>
    <row r="1355" spans="1:22" x14ac:dyDescent="0.3">
      <c r="A1355" t="str">
        <f>"Affidamento"</f>
        <v>Affidamento</v>
      </c>
      <c r="B1355" t="str">
        <f>"Relazioni idrologiche e idrauliche nell ambito della progettazione definitiva - Processo ID 021-21."</f>
        <v>Relazioni idrologiche e idrauliche nell ambito della progettazione definitiva - Processo ID 021-21.</v>
      </c>
      <c r="C1355" t="str">
        <f>"8842570F97"</f>
        <v>8842570F97</v>
      </c>
      <c r="D1355" t="str">
        <f>"23/07/2021"</f>
        <v>23/07/2021</v>
      </c>
      <c r="E1355" t="str">
        <f>""</f>
        <v/>
      </c>
      <c r="F1355" t="str">
        <f>""</f>
        <v/>
      </c>
      <c r="G1355" t="str">
        <f>"27542.10"</f>
        <v>27542.10</v>
      </c>
      <c r="H1355" t="str">
        <f>"Consorzio di bonifica Bacchiglione"</f>
        <v>Consorzio di bonifica Bacchiglione</v>
      </c>
      <c r="I1355" t="str">
        <f>"92223390284"</f>
        <v>92223390284</v>
      </c>
      <c r="J1355" t="str">
        <f>"23-AFFIDAMENTO DIRETTO"</f>
        <v>23-AFFIDAMENTO DIRETTO</v>
      </c>
      <c r="K1355" t="str">
        <f>"22/07/2021"</f>
        <v>22/07/2021</v>
      </c>
      <c r="L1355" t="str">
        <f>"21/12/2021"</f>
        <v>21/12/2021</v>
      </c>
      <c r="M1355" t="str">
        <f>""</f>
        <v/>
      </c>
      <c r="N1355" t="str">
        <f>"IPROS Ing. Ambientale srl"</f>
        <v>IPROS Ing. Ambientale srl</v>
      </c>
      <c r="O1355" t="str">
        <f>"IPROS Ing. Ambientale srl"</f>
        <v>IPROS Ing. Ambientale srl</v>
      </c>
      <c r="P1355" t="s">
        <v>176</v>
      </c>
      <c r="Q1355" t="str">
        <f>""</f>
        <v/>
      </c>
      <c r="R1355" t="str">
        <f>""</f>
        <v/>
      </c>
      <c r="S1355" t="str">
        <f>""</f>
        <v/>
      </c>
      <c r="T1355" t="str">
        <f>"https://portaletrasparenza.consorziobacchiglione.it/dettagli/attodigara/7018/relazioni-idrologiche-e-idrauliche-nell-ambito-della-progettazione-definitiva-processo-id-021-21.html"</f>
        <v>https://portaletrasparenza.consorziobacchiglione.it/dettagli/attodigara/7018/relazioni-idrologiche-e-idrauliche-nell-ambito-della-progettazione-definitiva-processo-id-021-21.html</v>
      </c>
      <c r="U1355" t="str">
        <f>"https://portaletrasparenza.consorziobacchiglione.it/download/attodigara/7018/63ac45a9c80d7.PDF"</f>
        <v>https://portaletrasparenza.consorziobacchiglione.it/download/attodigara/7018/63ac45a9c80d7.PDF</v>
      </c>
      <c r="V13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56" spans="1:22" x14ac:dyDescent="0.3">
      <c r="A1356" t="str">
        <f>"Affidamento"</f>
        <v>Affidamento</v>
      </c>
      <c r="B1356" t="str">
        <f>"Rilievo topografico, perizia di stima economica valore mercato beni immobili oggetto d esproprio, assistenza tecnica alla gestione della procedura espropriativa - Processo ID 021-21."</f>
        <v>Rilievo topografico, perizia di stima economica valore mercato beni immobili oggetto d esproprio, assistenza tecnica alla gestione della procedura espropriativa - Processo ID 021-21.</v>
      </c>
      <c r="C1356" t="str">
        <f>"8842422578"</f>
        <v>8842422578</v>
      </c>
      <c r="D1356" t="str">
        <f>"26/07/2021"</f>
        <v>26/07/2021</v>
      </c>
      <c r="E1356" t="str">
        <f>""</f>
        <v/>
      </c>
      <c r="F1356" t="str">
        <f>""</f>
        <v/>
      </c>
      <c r="G1356" t="str">
        <f>"35742.00"</f>
        <v>35742.00</v>
      </c>
      <c r="H1356" t="str">
        <f>"Consorzio di bonifica Bacchiglione"</f>
        <v>Consorzio di bonifica Bacchiglione</v>
      </c>
      <c r="I1356" t="str">
        <f>"92223390284"</f>
        <v>92223390284</v>
      </c>
      <c r="J1356" t="str">
        <f>"23-AFFIDAMENTO DIRETTO"</f>
        <v>23-AFFIDAMENTO DIRETTO</v>
      </c>
      <c r="K1356" t="str">
        <f>"22/07/2021"</f>
        <v>22/07/2021</v>
      </c>
      <c r="L1356" t="str">
        <f>"20/06/2023"</f>
        <v>20/06/2023</v>
      </c>
      <c r="M1356" t="str">
        <f>""</f>
        <v/>
      </c>
      <c r="N1356" t="str">
        <f>"AP STUDIO geom. Pizzeghello Angelo | Destro geom. Loris | Sattin Geom. Giuseppe"</f>
        <v>AP STUDIO geom. Pizzeghello Angelo | Destro geom. Loris | Sattin Geom. Giuseppe</v>
      </c>
      <c r="O1356" t="str">
        <f>"AP STUDIO geom. Pizzeghello Angelo"</f>
        <v>AP STUDIO geom. Pizzeghello Angelo</v>
      </c>
      <c r="P1356" t="str">
        <f>"8842422578: [34650.00€ ]"</f>
        <v>8842422578: [34650.00€ ]</v>
      </c>
      <c r="Q1356" t="str">
        <f>""</f>
        <v/>
      </c>
      <c r="R1356" t="str">
        <f>""</f>
        <v/>
      </c>
      <c r="S1356" t="str">
        <f>""</f>
        <v/>
      </c>
      <c r="T1356" t="s">
        <v>91</v>
      </c>
      <c r="U1356" t="str">
        <f>"https://portaletrasparenza.consorziobacchiglione.it/download/attodigara/7017/63ac45aa0df17.PDF"</f>
        <v>https://portaletrasparenza.consorziobacchiglione.it/download/attodigara/7017/63ac45aa0df17.PDF</v>
      </c>
      <c r="V1356">
        <f>(SUBSTITUTE(Tabella1[[#This Row],[Importo di aggiudicazione]],".",","))-(SUBSTITUTE(  SUBSTITUTE(          SUBSTITUTE(Tabella1[[#This Row],[Dettaglio somme liquidate]],Tabella1[[#This Row],[CIG]]&amp;": [",""),"€ ]",""),".",","))</f>
        <v>1092</v>
      </c>
    </row>
    <row r="1357" spans="1:22" x14ac:dyDescent="0.3">
      <c r="A1357" t="str">
        <f>"Affidamento"</f>
        <v>Affidamento</v>
      </c>
      <c r="B1357" t="str">
        <f>"Noleggio miniescavatore cingolato 50/60 q per lavori scolo Acque Straniere."</f>
        <v>Noleggio miniescavatore cingolato 50/60 q per lavori scolo Acque Straniere.</v>
      </c>
      <c r="C1357" t="str">
        <f>"Z6C1AF5CE9"</f>
        <v>Z6C1AF5CE9</v>
      </c>
      <c r="D1357" t="str">
        <f>"04/11/2021"</f>
        <v>04/11/2021</v>
      </c>
      <c r="E1357" t="str">
        <f>""</f>
        <v/>
      </c>
      <c r="F1357" t="str">
        <f>""</f>
        <v/>
      </c>
      <c r="G1357" t="str">
        <f>"150.00"</f>
        <v>150.00</v>
      </c>
      <c r="H1357" t="str">
        <f>"Consorzio di bonifica Bacchiglione"</f>
        <v>Consorzio di bonifica Bacchiglione</v>
      </c>
      <c r="I1357" t="str">
        <f>"92223390284"</f>
        <v>92223390284</v>
      </c>
      <c r="J1357" t="str">
        <f>"23-AFFIDAMENTO DIRETTO"</f>
        <v>23-AFFIDAMENTO DIRETTO</v>
      </c>
      <c r="K1357" t="str">
        <f>"22/08/2021"</f>
        <v>22/08/2021</v>
      </c>
      <c r="L1357" t="str">
        <f>"05/10/2021"</f>
        <v>05/10/2021</v>
      </c>
      <c r="M1357" t="str">
        <f>""</f>
        <v/>
      </c>
      <c r="N1357" t="str">
        <f>"Sorme s.n.c. Via Monache 21 35030 Selvazzano Dentro PD"</f>
        <v>Sorme s.n.c. Via Monache 21 35030 Selvazzano Dentro PD</v>
      </c>
      <c r="O1357" t="str">
        <f>"Sorme s.n.c. Via Monache 21 35030 Selvazzano Dentro PD"</f>
        <v>Sorme s.n.c. Via Monache 21 35030 Selvazzano Dentro PD</v>
      </c>
      <c r="P1357" t="str">
        <f>"Z6C1AF5CE9: [150.00€ ]"</f>
        <v>Z6C1AF5CE9: [150.00€ ]</v>
      </c>
      <c r="Q1357" t="str">
        <f>""</f>
        <v/>
      </c>
      <c r="R1357" t="str">
        <f>""</f>
        <v/>
      </c>
      <c r="S1357" t="str">
        <f>""</f>
        <v/>
      </c>
      <c r="T1357" t="str">
        <f>"https://portaletrasparenza.consorziobacchiglione.it/dettagli/attodigara/681/noleggio-miniescavatore-cingolato-50-60-q-per-lavori-scolo-acque-straniere.html"</f>
        <v>https://portaletrasparenza.consorziobacchiglione.it/dettagli/attodigara/681/noleggio-miniescavatore-cingolato-50-60-q-per-lavori-scolo-acque-straniere.html</v>
      </c>
      <c r="U1357" t="str">
        <f>""</f>
        <v/>
      </c>
      <c r="V135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58" spans="1:22" x14ac:dyDescent="0.3">
      <c r="A1358" t="str">
        <f>"Affidamento"</f>
        <v>Affidamento</v>
      </c>
      <c r="B1358" t="str">
        <f>"Passaggio linee fibra e alimentazione nuovo locale server sede Consorziale."</f>
        <v>Passaggio linee fibra e alimentazione nuovo locale server sede Consorziale.</v>
      </c>
      <c r="C1358" t="str">
        <f>"Z1E1AF4CCA"</f>
        <v>Z1E1AF4CCA</v>
      </c>
      <c r="D1358" t="str">
        <f>"04/11/2021"</f>
        <v>04/11/2021</v>
      </c>
      <c r="E1358" t="str">
        <f>""</f>
        <v/>
      </c>
      <c r="F1358" t="str">
        <f>""</f>
        <v/>
      </c>
      <c r="G1358" t="str">
        <f>"2681.30"</f>
        <v>2681.30</v>
      </c>
      <c r="H1358" t="str">
        <f>"Consorzio di bonifica Bacchiglione"</f>
        <v>Consorzio di bonifica Bacchiglione</v>
      </c>
      <c r="I1358" t="str">
        <f>"92223390284"</f>
        <v>92223390284</v>
      </c>
      <c r="J1358" t="str">
        <f>"23-AFFIDAMENTO DIRETTO"</f>
        <v>23-AFFIDAMENTO DIRETTO</v>
      </c>
      <c r="K1358" t="str">
        <f>"22/08/2021"</f>
        <v>22/08/2021</v>
      </c>
      <c r="L1358" t="str">
        <f>"05/10/2021"</f>
        <v>05/10/2021</v>
      </c>
      <c r="M1358" t="str">
        <f>""</f>
        <v/>
      </c>
      <c r="N1358" t="str">
        <f>"A.S.P. Tecnologie srl Via Padre Nicolini 29 35013 Cittadella PD | Picello s.r.l. V.le del Progresso 14A 35026 Conselve PD"</f>
        <v>A.S.P. Tecnologie srl Via Padre Nicolini 29 35013 Cittadella PD | Picello s.r.l. V.le del Progresso 14A 35026 Conselve PD</v>
      </c>
      <c r="O1358" t="str">
        <f>"Picello s.r.l. V.le del Progresso 14A 35026 Conselve PD"</f>
        <v>Picello s.r.l. V.le del Progresso 14A 35026 Conselve PD</v>
      </c>
      <c r="P1358" t="str">
        <f>"Z1E1AF4CCA: [2681.30€ ]"</f>
        <v>Z1E1AF4CCA: [2681.30€ ]</v>
      </c>
      <c r="Q1358" t="str">
        <f>""</f>
        <v/>
      </c>
      <c r="R1358" t="str">
        <f>""</f>
        <v/>
      </c>
      <c r="S1358" t="str">
        <f>""</f>
        <v/>
      </c>
      <c r="T1358" t="str">
        <f>"https://portaletrasparenza.consorziobacchiglione.it/dettagli/attodigara/680/passaggio-linee-fibra-e-alimentazione-nuovo-locale-server-sede-consorziale.html"</f>
        <v>https://portaletrasparenza.consorziobacchiglione.it/dettagli/attodigara/680/passaggio-linee-fibra-e-alimentazione-nuovo-locale-server-sede-consorziale.html</v>
      </c>
      <c r="U1358" t="str">
        <f>""</f>
        <v/>
      </c>
      <c r="V13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59" spans="1:22" x14ac:dyDescent="0.3">
      <c r="A1359" t="str">
        <f>"Affidamento"</f>
        <v>Affidamento</v>
      </c>
      <c r="B1359" t="str">
        <f>"Fornitura materiale elettrico per Idrovora Fogolana."</f>
        <v>Fornitura materiale elettrico per Idrovora Fogolana.</v>
      </c>
      <c r="C1359" t="str">
        <f>"Z641AF491B"</f>
        <v>Z641AF491B</v>
      </c>
      <c r="D1359" t="str">
        <f>"04/11/2021"</f>
        <v>04/11/2021</v>
      </c>
      <c r="E1359" t="str">
        <f>""</f>
        <v/>
      </c>
      <c r="F1359" t="str">
        <f>""</f>
        <v/>
      </c>
      <c r="G1359" t="str">
        <f>"812.82"</f>
        <v>812.82</v>
      </c>
      <c r="H1359" t="str">
        <f>"Consorzio di bonifica Bacchiglione"</f>
        <v>Consorzio di bonifica Bacchiglione</v>
      </c>
      <c r="I1359" t="str">
        <f>"92223390284"</f>
        <v>92223390284</v>
      </c>
      <c r="J1359" t="str">
        <f>"23-AFFIDAMENTO DIRETTO"</f>
        <v>23-AFFIDAMENTO DIRETTO</v>
      </c>
      <c r="K1359" t="str">
        <f>"22/08/2021"</f>
        <v>22/08/2021</v>
      </c>
      <c r="L1359" t="str">
        <f>"05/10/2021"</f>
        <v>05/10/2021</v>
      </c>
      <c r="M1359" t="str">
        <f>""</f>
        <v/>
      </c>
      <c r="N1359" t="str">
        <f>"Elettroveneta S.p.A. Viale della Navigazione Interna, 48 - 35129 Padova (PD)"</f>
        <v>Elettroveneta S.p.A. Viale della Navigazione Interna, 48 - 35129 Padova (PD)</v>
      </c>
      <c r="O1359" t="str">
        <f>"Elettroveneta S.p.A. Viale della Navigazione Interna, 48 - 35129 Padova (PD)"</f>
        <v>Elettroveneta S.p.A. Viale della Navigazione Interna, 48 - 35129 Padova (PD)</v>
      </c>
      <c r="P1359" t="str">
        <f>"Z641AF491B: [812.82€ ]"</f>
        <v>Z641AF491B: [812.82€ ]</v>
      </c>
      <c r="Q1359" t="str">
        <f>""</f>
        <v/>
      </c>
      <c r="R1359" t="str">
        <f>""</f>
        <v/>
      </c>
      <c r="S1359" t="str">
        <f>""</f>
        <v/>
      </c>
      <c r="T1359" t="str">
        <f>"https://portaletrasparenza.consorziobacchiglione.it/dettagli/attodigara/679/fornitura-materiale-elettrico-per-idrovora-fogolana.html"</f>
        <v>https://portaletrasparenza.consorziobacchiglione.it/dettagli/attodigara/679/fornitura-materiale-elettrico-per-idrovora-fogolana.html</v>
      </c>
      <c r="U1359" t="str">
        <f>""</f>
        <v/>
      </c>
      <c r="V135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60" spans="1:22" x14ac:dyDescent="0.3">
      <c r="A1360" t="str">
        <f>"Affidamento"</f>
        <v>Affidamento</v>
      </c>
      <c r="B1360" t="str">
        <f>"Lavoro di sostituzione motore cancello elettrico Idrovora Bovolenta, riparazione avaria inverter EP3 Idrovora Baldon, ricerca guasto su centrale antincendio Idrovora Cambroso."</f>
        <v>Lavoro di sostituzione motore cancello elettrico Idrovora Bovolenta, riparazione avaria inverter EP3 Idrovora Baldon, ricerca guasto su centrale antincendio Idrovora Cambroso.</v>
      </c>
      <c r="C1360" t="str">
        <f>"Z091B48855"</f>
        <v>Z091B48855</v>
      </c>
      <c r="D1360" t="str">
        <f>"04/11/2021"</f>
        <v>04/11/2021</v>
      </c>
      <c r="E1360" t="str">
        <f>""</f>
        <v/>
      </c>
      <c r="F1360" t="str">
        <f>""</f>
        <v/>
      </c>
      <c r="G1360" t="str">
        <f>"937.20"</f>
        <v>937.20</v>
      </c>
      <c r="H1360" t="str">
        <f>"Consorzio di bonifica Bacchiglione"</f>
        <v>Consorzio di bonifica Bacchiglione</v>
      </c>
      <c r="I1360" t="str">
        <f>"92223390284"</f>
        <v>92223390284</v>
      </c>
      <c r="J1360" t="str">
        <f>"23-AFFIDAMENTO DIRETTO"</f>
        <v>23-AFFIDAMENTO DIRETTO</v>
      </c>
      <c r="K1360" t="str">
        <f>"22/09/2021"</f>
        <v>22/09/2021</v>
      </c>
      <c r="L1360" t="str">
        <f>"06/12/2021"</f>
        <v>06/12/2021</v>
      </c>
      <c r="M1360" t="str">
        <f>""</f>
        <v/>
      </c>
      <c r="N1360" t="str">
        <f>"Picello s.r.l. V.le del Progresso 14A 35026 Conselve PD | Picello Mauro Studio Tecnico Viale del Progresso 14A 35026 Conselve PD"</f>
        <v>Picello s.r.l. V.le del Progresso 14A 35026 Conselve PD | Picello Mauro Studio Tecnico Viale del Progresso 14A 35026 Conselve PD</v>
      </c>
      <c r="O1360" t="str">
        <f>"Picello s.r.l. V.le del Progresso 14A 35026 Conselve PD"</f>
        <v>Picello s.r.l. V.le del Progresso 14A 35026 Conselve PD</v>
      </c>
      <c r="P1360" t="str">
        <f>"Z091B48855: [937.20€ ]"</f>
        <v>Z091B48855: [937.20€ ]</v>
      </c>
      <c r="Q1360" t="str">
        <f>""</f>
        <v/>
      </c>
      <c r="R1360" t="str">
        <f>""</f>
        <v/>
      </c>
      <c r="S1360" t="str">
        <f>""</f>
        <v/>
      </c>
      <c r="T1360" t="str">
        <f>"https://portaletrasparenza.consorziobacchiglione.it/dettagli/attodigara/763/lavoro-di-sostituzione-motore-cancello-elettrico-idrovora-bovolenta-riparazione-avaria-inverter-ep3-idrovora-baldon-ricerca-guasto-su-centrale-antincendio-idrovora-cambroso.html"</f>
        <v>https://portaletrasparenza.consorziobacchiglione.it/dettagli/attodigara/763/lavoro-di-sostituzione-motore-cancello-elettrico-idrovora-bovolenta-riparazione-avaria-inverter-ep3-idrovora-baldon-ricerca-guasto-su-centrale-antincendio-idrovora-cambroso.html</v>
      </c>
      <c r="U1360" t="str">
        <f>""</f>
        <v/>
      </c>
      <c r="V13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61" spans="1:22" x14ac:dyDescent="0.3">
      <c r="A1361" t="str">
        <f>"Affidamento"</f>
        <v>Affidamento</v>
      </c>
      <c r="B1361" t="str">
        <f>"Estrazione pompa Idrovora Voltabarozzo e trasporto."</f>
        <v>Estrazione pompa Idrovora Voltabarozzo e trasporto.</v>
      </c>
      <c r="C1361" t="str">
        <f>"Z481B4684A"</f>
        <v>Z481B4684A</v>
      </c>
      <c r="D1361" t="str">
        <f>"04/11/2021"</f>
        <v>04/11/2021</v>
      </c>
      <c r="E1361" t="str">
        <f>""</f>
        <v/>
      </c>
      <c r="F1361" t="str">
        <f>""</f>
        <v/>
      </c>
      <c r="G1361" t="str">
        <f>"705.00"</f>
        <v>705.00</v>
      </c>
      <c r="H1361" t="str">
        <f>"Consorzio di bonifica Bacchiglione"</f>
        <v>Consorzio di bonifica Bacchiglione</v>
      </c>
      <c r="I1361" t="str">
        <f>"92223390284"</f>
        <v>92223390284</v>
      </c>
      <c r="J1361" t="str">
        <f>"23-AFFIDAMENTO DIRETTO"</f>
        <v>23-AFFIDAMENTO DIRETTO</v>
      </c>
      <c r="K1361" t="str">
        <f>"22/09/2021"</f>
        <v>22/09/2021</v>
      </c>
      <c r="L1361" t="str">
        <f>"27/10/2021"</f>
        <v>27/10/2021</v>
      </c>
      <c r="M1361" t="str">
        <f>""</f>
        <v/>
      </c>
      <c r="N1361" t="str">
        <f>"Aggio Egidio Via Chiusure 47 35020 Maserà di Padova"</f>
        <v>Aggio Egidio Via Chiusure 47 35020 Maserà di Padova</v>
      </c>
      <c r="O1361" t="str">
        <f>"Aggio Egidio Via Chiusure 47 35020 Maserà di Padova"</f>
        <v>Aggio Egidio Via Chiusure 47 35020 Maserà di Padova</v>
      </c>
      <c r="P1361" t="str">
        <f>"Z481B4684A: [705.00€ ]"</f>
        <v>Z481B4684A: [705.00€ ]</v>
      </c>
      <c r="Q1361" t="str">
        <f>""</f>
        <v/>
      </c>
      <c r="R1361" t="str">
        <f>""</f>
        <v/>
      </c>
      <c r="S1361" t="str">
        <f>""</f>
        <v/>
      </c>
      <c r="T1361" t="str">
        <f>"https://portaletrasparenza.consorziobacchiglione.it/dettagli/attodigara/762/estrazione-pompa-idrovora-voltabarozzo-e-trasporto.html"</f>
        <v>https://portaletrasparenza.consorziobacchiglione.it/dettagli/attodigara/762/estrazione-pompa-idrovora-voltabarozzo-e-trasporto.html</v>
      </c>
      <c r="U1361" t="str">
        <f>""</f>
        <v/>
      </c>
      <c r="V136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62" spans="1:22" x14ac:dyDescent="0.3">
      <c r="A1362" t="str">
        <f>"Affidamento"</f>
        <v>Affidamento</v>
      </c>
      <c r="B1362" t="str">
        <f>"Manutenzione e riparazione mezzo con targa: AFW043"</f>
        <v>Manutenzione e riparazione mezzo con targa: AFW043</v>
      </c>
      <c r="C1362" t="str">
        <f>"Z671B466D7"</f>
        <v>Z671B466D7</v>
      </c>
      <c r="D1362" t="str">
        <f>"04/11/2021"</f>
        <v>04/11/2021</v>
      </c>
      <c r="E1362" t="str">
        <f>""</f>
        <v/>
      </c>
      <c r="F1362" t="str">
        <f>""</f>
        <v/>
      </c>
      <c r="G1362" t="str">
        <f>"385.59"</f>
        <v>385.59</v>
      </c>
      <c r="H1362" t="str">
        <f>"Consorzio di bonifica Bacchiglione"</f>
        <v>Consorzio di bonifica Bacchiglione</v>
      </c>
      <c r="I1362" t="str">
        <f>"92223390284"</f>
        <v>92223390284</v>
      </c>
      <c r="J1362" t="str">
        <f>"23-AFFIDAMENTO DIRETTO"</f>
        <v>23-AFFIDAMENTO DIRETTO</v>
      </c>
      <c r="K1362" t="str">
        <f>"22/09/2021"</f>
        <v>22/09/2021</v>
      </c>
      <c r="L1362" t="str">
        <f>"30/11/2021"</f>
        <v>30/11/2021</v>
      </c>
      <c r="M1362" t="str">
        <f>""</f>
        <v/>
      </c>
      <c r="N1362" t="str">
        <f>"Autoriparazioni Ravazzolo s.r.l. Via Roma 259a 35030 Montemerlo di Cervarese Santa Croce PD"</f>
        <v>Autoriparazioni Ravazzolo s.r.l. Via Roma 259a 35030 Montemerlo di Cervarese Santa Croce PD</v>
      </c>
      <c r="O1362" t="str">
        <f>"Autoriparazioni Ravazzolo s.r.l. Via Roma 259a 35030 Montemerlo di Cervarese Santa Croce PD"</f>
        <v>Autoriparazioni Ravazzolo s.r.l. Via Roma 259a 35030 Montemerlo di Cervarese Santa Croce PD</v>
      </c>
      <c r="P1362" t="str">
        <f>"Z671B466D7: [385.59€ ]"</f>
        <v>Z671B466D7: [385.59€ ]</v>
      </c>
      <c r="Q1362" t="str">
        <f>""</f>
        <v/>
      </c>
      <c r="R1362" t="str">
        <f>""</f>
        <v/>
      </c>
      <c r="S1362" t="str">
        <f>""</f>
        <v/>
      </c>
      <c r="T1362" t="str">
        <f>"https://portaletrasparenza.consorziobacchiglione.it/dettagli/attodigara/761/manutenzione-e-riparazione-mezzo-con-targa-afw043.html"</f>
        <v>https://portaletrasparenza.consorziobacchiglione.it/dettagli/attodigara/761/manutenzione-e-riparazione-mezzo-con-targa-afw043.html</v>
      </c>
      <c r="U1362" t="str">
        <f>""</f>
        <v/>
      </c>
      <c r="V136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63" spans="1:22" x14ac:dyDescent="0.3">
      <c r="A1363" t="str">
        <f>"Affidamento"</f>
        <v>Affidamento</v>
      </c>
      <c r="B1363" t="str">
        <f>"Fornitura n 1 fusto da litri 200 di Urea per mezzo C.O.Pratiarcati."</f>
        <v>Fornitura n 1 fusto da litri 200 di Urea per mezzo C.O.Pratiarcati.</v>
      </c>
      <c r="C1363" t="str">
        <f>"Z3A1B4657F"</f>
        <v>Z3A1B4657F</v>
      </c>
      <c r="D1363" t="str">
        <f>"04/11/2021"</f>
        <v>04/11/2021</v>
      </c>
      <c r="E1363" t="str">
        <f>""</f>
        <v/>
      </c>
      <c r="F1363" t="str">
        <f>""</f>
        <v/>
      </c>
      <c r="G1363" t="str">
        <f>"165.00"</f>
        <v>165.00</v>
      </c>
      <c r="H1363" t="str">
        <f>"Consorzio di bonifica Bacchiglione"</f>
        <v>Consorzio di bonifica Bacchiglione</v>
      </c>
      <c r="I1363" t="str">
        <f>"92223390284"</f>
        <v>92223390284</v>
      </c>
      <c r="J1363" t="str">
        <f>"23-AFFIDAMENTO DIRETTO"</f>
        <v>23-AFFIDAMENTO DIRETTO</v>
      </c>
      <c r="K1363" t="str">
        <f>"22/09/2021"</f>
        <v>22/09/2021</v>
      </c>
      <c r="L1363" t="str">
        <f>"09/11/2021"</f>
        <v>09/11/2021</v>
      </c>
      <c r="M1363" t="str">
        <f>""</f>
        <v/>
      </c>
      <c r="N1363" t="str">
        <f>"Consorzio Agrario del Nordest Via Francia 2 37135 Verona"</f>
        <v>Consorzio Agrario del Nordest Via Francia 2 37135 Verona</v>
      </c>
      <c r="O1363" t="str">
        <f>"Consorzio Agrario del Nordest Via Francia 2 37135 Verona"</f>
        <v>Consorzio Agrario del Nordest Via Francia 2 37135 Verona</v>
      </c>
      <c r="P1363" t="str">
        <f>"Z3A1B4657F: [165.00€ ]"</f>
        <v>Z3A1B4657F: [165.00€ ]</v>
      </c>
      <c r="Q1363" t="str">
        <f>""</f>
        <v/>
      </c>
      <c r="R1363" t="str">
        <f>""</f>
        <v/>
      </c>
      <c r="S1363" t="str">
        <f>""</f>
        <v/>
      </c>
      <c r="T1363" t="str">
        <f>"https://portaletrasparenza.consorziobacchiglione.it/dettagli/attodigara/760/fornitura-n-1-fusto-da-litri-200-di-urea-per-mezzo-c-o-pratiarcati.html"</f>
        <v>https://portaletrasparenza.consorziobacchiglione.it/dettagli/attodigara/760/fornitura-n-1-fusto-da-litri-200-di-urea-per-mezzo-c-o-pratiarcati.html</v>
      </c>
      <c r="U1363" t="str">
        <f>""</f>
        <v/>
      </c>
      <c r="V13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64" spans="1:22" x14ac:dyDescent="0.3">
      <c r="A1364" t="str">
        <f>"Affidamento"</f>
        <v>Affidamento</v>
      </c>
      <c r="B1364" t="str">
        <f>"Manutenzione e riparazione mezzi con targa: AJR631, CT189YR, AHH573."</f>
        <v>Manutenzione e riparazione mezzi con targa: AJR631, CT189YR, AHH573.</v>
      </c>
      <c r="C1364" t="str">
        <f>"Z691B46470"</f>
        <v>Z691B46470</v>
      </c>
      <c r="D1364" t="str">
        <f>"04/11/2021"</f>
        <v>04/11/2021</v>
      </c>
      <c r="E1364" t="str">
        <f>""</f>
        <v/>
      </c>
      <c r="F1364" t="str">
        <f>""</f>
        <v/>
      </c>
      <c r="G1364" t="str">
        <f>"517.48"</f>
        <v>517.48</v>
      </c>
      <c r="H1364" t="str">
        <f>"Consorzio di bonifica Bacchiglione"</f>
        <v>Consorzio di bonifica Bacchiglione</v>
      </c>
      <c r="I1364" t="str">
        <f>"92223390284"</f>
        <v>92223390284</v>
      </c>
      <c r="J1364" t="str">
        <f>"23-AFFIDAMENTO DIRETTO"</f>
        <v>23-AFFIDAMENTO DIRETTO</v>
      </c>
      <c r="K1364" t="str">
        <f>"22/09/2021"</f>
        <v>22/09/2021</v>
      </c>
      <c r="L1364" t="str">
        <f>"03/01/2021"</f>
        <v>03/01/2021</v>
      </c>
      <c r="M1364" t="str">
        <f>""</f>
        <v/>
      </c>
      <c r="N1364" t="str">
        <f>"Negrisolo Officina Meccanica s.a.s. V.le delle Industrie II° strada 13 35025 Cagnola di Cartura PD"</f>
        <v>Negrisolo Officina Meccanica s.a.s. V.le delle Industrie II° strada 13 35025 Cagnola di Cartura PD</v>
      </c>
      <c r="O1364" t="str">
        <f>"Negrisolo Officina Meccanica s.a.s. V.le delle Industrie II° strada 13 35025 Cagnola di Cartura PD"</f>
        <v>Negrisolo Officina Meccanica s.a.s. V.le delle Industrie II° strada 13 35025 Cagnola di Cartura PD</v>
      </c>
      <c r="P1364" t="str">
        <f>"Z691B46470: [517.48€ ]"</f>
        <v>Z691B46470: [517.48€ ]</v>
      </c>
      <c r="Q1364" t="str">
        <f>""</f>
        <v/>
      </c>
      <c r="R1364" t="str">
        <f>""</f>
        <v/>
      </c>
      <c r="S1364" t="str">
        <f>""</f>
        <v/>
      </c>
      <c r="T1364" t="str">
        <f>"https://portaletrasparenza.consorziobacchiglione.it/dettagli/attodigara/759/manutenzione-e-riparazione-mezzi-con-targa-ajr631-ct189yr-ahh573.html"</f>
        <v>https://portaletrasparenza.consorziobacchiglione.it/dettagli/attodigara/759/manutenzione-e-riparazione-mezzi-con-targa-ajr631-ct189yr-ahh573.html</v>
      </c>
      <c r="U1364" t="str">
        <f>""</f>
        <v/>
      </c>
      <c r="V13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65" spans="1:22" x14ac:dyDescent="0.3">
      <c r="A1365" t="str">
        <f>"Affidamento"</f>
        <v>Affidamento</v>
      </c>
      <c r="B1365" t="str">
        <f>"Fornitura monitor LCD 10'' per telecamera sede Consorziale."</f>
        <v>Fornitura monitor LCD 10'' per telecamera sede Consorziale.</v>
      </c>
      <c r="C1365" t="str">
        <f>"ZE71B48A52"</f>
        <v>ZE71B48A52</v>
      </c>
      <c r="D1365" t="str">
        <f>"04/11/2021"</f>
        <v>04/11/2021</v>
      </c>
      <c r="E1365" t="str">
        <f>""</f>
        <v/>
      </c>
      <c r="F1365" t="str">
        <f>""</f>
        <v/>
      </c>
      <c r="G1365" t="str">
        <f>"314.80"</f>
        <v>314.80</v>
      </c>
      <c r="H1365" t="str">
        <f>"Consorzio di bonifica Bacchiglione"</f>
        <v>Consorzio di bonifica Bacchiglione</v>
      </c>
      <c r="I1365" t="str">
        <f>"92223390284"</f>
        <v>92223390284</v>
      </c>
      <c r="J1365" t="str">
        <f>"23-AFFIDAMENTO DIRETTO"</f>
        <v>23-AFFIDAMENTO DIRETTO</v>
      </c>
      <c r="K1365" t="str">
        <f>"22/09/2021"</f>
        <v>22/09/2021</v>
      </c>
      <c r="L1365" t="str">
        <f>"06/12/2021"</f>
        <v>06/12/2021</v>
      </c>
      <c r="M1365" t="str">
        <f>""</f>
        <v/>
      </c>
      <c r="N1365" t="str">
        <f>"Picello s.r.l. V.le del Progresso 14A 35026 Conselve PD"</f>
        <v>Picello s.r.l. V.le del Progresso 14A 35026 Conselve PD</v>
      </c>
      <c r="O1365" t="str">
        <f>"Picello s.r.l. V.le del Progresso 14A 35026 Conselve PD"</f>
        <v>Picello s.r.l. V.le del Progresso 14A 35026 Conselve PD</v>
      </c>
      <c r="P1365" t="str">
        <f>"ZE71B48A52: [314.79€ ]"</f>
        <v>ZE71B48A52: [314.79€ ]</v>
      </c>
      <c r="Q1365" t="str">
        <f>""</f>
        <v/>
      </c>
      <c r="R1365" t="str">
        <f>""</f>
        <v/>
      </c>
      <c r="S1365" t="str">
        <f>""</f>
        <v/>
      </c>
      <c r="T1365" t="str">
        <f>"https://portaletrasparenza.consorziobacchiglione.it/dettagli/attodigara/764/fornitura-monitor-lcd-10-per-telecamera-sede-consorziale.html"</f>
        <v>https://portaletrasparenza.consorziobacchiglione.it/dettagli/attodigara/764/fornitura-monitor-lcd-10-per-telecamera-sede-consorziale.html</v>
      </c>
      <c r="U1365" t="str">
        <f>""</f>
        <v/>
      </c>
      <c r="V1365">
        <f>(SUBSTITUTE(Tabella1[[#This Row],[Importo di aggiudicazione]],".",","))-(SUBSTITUTE(  SUBSTITUTE(          SUBSTITUTE(Tabella1[[#This Row],[Dettaglio somme liquidate]],Tabella1[[#This Row],[CIG]]&amp;": [",""),"€ ]",""),".",","))</f>
        <v>9.9999999999909051E-3</v>
      </c>
    </row>
    <row r="1366" spans="1:22" x14ac:dyDescent="0.3">
      <c r="A1366" t="str">
        <f>"Affidamento"</f>
        <v>Affidamento</v>
      </c>
      <c r="B1366" t="str">
        <f>"Manutenzione e riparazione mezzo con targa: AJR631, Motobarca Dragoni n.8"</f>
        <v>Manutenzione e riparazione mezzo con targa: AJR631, Motobarca Dragoni n.8</v>
      </c>
      <c r="C1366" t="str">
        <f>"Z7833255CE"</f>
        <v>Z7833255CE</v>
      </c>
      <c r="D1366" t="str">
        <f>"24/09/2021"</f>
        <v>24/09/2021</v>
      </c>
      <c r="E1366" t="str">
        <f>""</f>
        <v/>
      </c>
      <c r="F1366" t="str">
        <f>""</f>
        <v/>
      </c>
      <c r="G1366" t="str">
        <f>"455.18"</f>
        <v>455.18</v>
      </c>
      <c r="H1366" t="str">
        <f>"Consorzio di bonifica Bacchiglione"</f>
        <v>Consorzio di bonifica Bacchiglione</v>
      </c>
      <c r="I1366" t="str">
        <f>"92223390284"</f>
        <v>92223390284</v>
      </c>
      <c r="J1366" t="str">
        <f>"23-AFFIDAMENTO DIRETTO"</f>
        <v>23-AFFIDAMENTO DIRETTO</v>
      </c>
      <c r="K1366" t="str">
        <f>"22/09/2021"</f>
        <v>22/09/2021</v>
      </c>
      <c r="L1366" t="str">
        <f>"30/09/2021"</f>
        <v>30/09/2021</v>
      </c>
      <c r="M1366" t="str">
        <f>""</f>
        <v/>
      </c>
      <c r="N1366" t="str">
        <f>"Negrisolo Officina Meccanica s.a.s. V.le delle Industrie II° strada 13 35025 Cagnola di Cartura PD"</f>
        <v>Negrisolo Officina Meccanica s.a.s. V.le delle Industrie II° strada 13 35025 Cagnola di Cartura PD</v>
      </c>
      <c r="O1366" t="str">
        <f>"Negrisolo Officina Meccanica s.a.s. V.le delle Industrie II° strada 13 35025 Cagnola di Cartura PD"</f>
        <v>Negrisolo Officina Meccanica s.a.s. V.le delle Industrie II° strada 13 35025 Cagnola di Cartura PD</v>
      </c>
      <c r="P1366" t="s">
        <v>270</v>
      </c>
      <c r="Q1366" t="str">
        <f>""</f>
        <v/>
      </c>
      <c r="R1366" t="str">
        <f>""</f>
        <v/>
      </c>
      <c r="S1366" t="str">
        <f>""</f>
        <v/>
      </c>
      <c r="T1366" t="str">
        <f>"https://portaletrasparenza.consorziobacchiglione.it/dettagli/attodigara/7161/manutenzione-e-riparazione-mezzo-con-targa-ajr631-motobarca-dragoni-n-8.html"</f>
        <v>https://portaletrasparenza.consorziobacchiglione.it/dettagli/attodigara/7161/manutenzione-e-riparazione-mezzo-con-targa-ajr631-motobarca-dragoni-n-8.html</v>
      </c>
      <c r="U1366" t="str">
        <f>"https://portaletrasparenza.consorziobacchiglione.it/download/attodigara/7161/63ac45cccc9c8.PDF"</f>
        <v>https://portaletrasparenza.consorziobacchiglione.it/download/attodigara/7161/63ac45cccc9c8.PDF</v>
      </c>
      <c r="V136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67" spans="1:22" x14ac:dyDescent="0.3">
      <c r="A1367" t="str">
        <f>"Affidamento"</f>
        <v>Affidamento</v>
      </c>
      <c r="B1367" t="str">
        <f>"Fornitura Monitor 27\' HP risoluzione QHD per ufficio Catasto"</f>
        <v>Fornitura Monitor 27\' HP risoluzione QHD per ufficio Catasto</v>
      </c>
      <c r="C1367" t="str">
        <f>"ZD533248A2"</f>
        <v>ZD533248A2</v>
      </c>
      <c r="D1367" t="str">
        <f>"24/09/2021"</f>
        <v>24/09/2021</v>
      </c>
      <c r="E1367" t="str">
        <f>""</f>
        <v/>
      </c>
      <c r="F1367" t="str">
        <f>""</f>
        <v/>
      </c>
      <c r="G1367" t="str">
        <f>"229.00"</f>
        <v>229.00</v>
      </c>
      <c r="H1367" t="str">
        <f>"Consorzio di bonifica Bacchiglione"</f>
        <v>Consorzio di bonifica Bacchiglione</v>
      </c>
      <c r="I1367" t="str">
        <f>"92223390284"</f>
        <v>92223390284</v>
      </c>
      <c r="J1367" t="str">
        <f>"23-AFFIDAMENTO DIRETTO"</f>
        <v>23-AFFIDAMENTO DIRETTO</v>
      </c>
      <c r="K1367" t="str">
        <f>"22/09/2021"</f>
        <v>22/09/2021</v>
      </c>
      <c r="L1367" t="str">
        <f>"02/11/2021"</f>
        <v>02/11/2021</v>
      </c>
      <c r="M1367" t="str">
        <f>""</f>
        <v/>
      </c>
      <c r="N1367" t="str">
        <f>"Hard Service S.r.l. Via del Progresso, 2 35010 Peraga di Vigonza (PD)"</f>
        <v>Hard Service S.r.l. Via del Progresso, 2 35010 Peraga di Vigonza (PD)</v>
      </c>
      <c r="O1367" t="str">
        <f>"Hard Service S.r.l. Via del Progresso, 2 35010 Peraga di Vigonza (PD)"</f>
        <v>Hard Service S.r.l. Via del Progresso, 2 35010 Peraga di Vigonza (PD)</v>
      </c>
      <c r="P1367" t="s">
        <v>300</v>
      </c>
      <c r="Q1367" t="str">
        <f>""</f>
        <v/>
      </c>
      <c r="R1367" t="str">
        <f>""</f>
        <v/>
      </c>
      <c r="S1367" t="str">
        <f>""</f>
        <v/>
      </c>
      <c r="T1367" t="str">
        <f>"https://portaletrasparenza.consorziobacchiglione.it/dettagli/attodigara/7159/fornitura-monitor-27-hp-risoluzione-qhd-per-ufficio-catasto.html"</f>
        <v>https://portaletrasparenza.consorziobacchiglione.it/dettagli/attodigara/7159/fornitura-monitor-27-hp-risoluzione-qhd-per-ufficio-catasto.html</v>
      </c>
      <c r="U1367" t="str">
        <f>"https://portaletrasparenza.consorziobacchiglione.it/download/attodigara/7159/63ac45cc49c11.PDF"</f>
        <v>https://portaletrasparenza.consorziobacchiglione.it/download/attodigara/7159/63ac45cc49c11.PDF</v>
      </c>
      <c r="V136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68" spans="1:22" x14ac:dyDescent="0.3">
      <c r="A1368" t="str">
        <f>"Affidamento"</f>
        <v>Affidamento</v>
      </c>
      <c r="B1368" t="str">
        <f>"Fornitura di sovrapattini per cingoli da 500mm per nuovo escavatore Hitachi"</f>
        <v>Fornitura di sovrapattini per cingoli da 500mm per nuovo escavatore Hitachi</v>
      </c>
      <c r="C1368" t="str">
        <f>"ZAF332500A"</f>
        <v>ZAF332500A</v>
      </c>
      <c r="D1368" t="str">
        <f>"24/09/2021"</f>
        <v>24/09/2021</v>
      </c>
      <c r="E1368" t="str">
        <f>""</f>
        <v/>
      </c>
      <c r="F1368" t="str">
        <f>""</f>
        <v/>
      </c>
      <c r="G1368" t="str">
        <f>"4764.00"</f>
        <v>4764.00</v>
      </c>
      <c r="H1368" t="str">
        <f>"Consorzio di bonifica Bacchiglione"</f>
        <v>Consorzio di bonifica Bacchiglione</v>
      </c>
      <c r="I1368" t="str">
        <f>"92223390284"</f>
        <v>92223390284</v>
      </c>
      <c r="J1368" t="str">
        <f>"23-AFFIDAMENTO DIRETTO"</f>
        <v>23-AFFIDAMENTO DIRETTO</v>
      </c>
      <c r="K1368" t="str">
        <f>"22/09/2021"</f>
        <v>22/09/2021</v>
      </c>
      <c r="L1368" t="str">
        <f>"29/09/2021"</f>
        <v>29/09/2021</v>
      </c>
      <c r="M1368" t="str">
        <f>""</f>
        <v/>
      </c>
      <c r="N1368" t="str">
        <f>"Sorme s.n.c. Via Monache 21 35030 Selvazzano Dentro PD"</f>
        <v>Sorme s.n.c. Via Monache 21 35030 Selvazzano Dentro PD</v>
      </c>
      <c r="O1368" t="str">
        <f>"Sorme s.n.c. Via Monache 21 35030 Selvazzano Dentro PD"</f>
        <v>Sorme s.n.c. Via Monache 21 35030 Selvazzano Dentro PD</v>
      </c>
      <c r="P1368" t="str">
        <f>"ZAF332500A: [4764.00€ ]"</f>
        <v>ZAF332500A: [4764.00€ ]</v>
      </c>
      <c r="Q1368" t="str">
        <f>""</f>
        <v/>
      </c>
      <c r="R1368" t="str">
        <f>""</f>
        <v/>
      </c>
      <c r="S1368" t="str">
        <f>""</f>
        <v/>
      </c>
      <c r="T1368" t="str">
        <f>"https://portaletrasparenza.consorziobacchiglione.it/dettagli/attodigara/7160/fornitura-di-sovrapattini-per-cingoli-da-500mm-per-nuovo-escavatore-hitachi.html"</f>
        <v>https://portaletrasparenza.consorziobacchiglione.it/dettagli/attodigara/7160/fornitura-di-sovrapattini-per-cingoli-da-500mm-per-nuovo-escavatore-hitachi.html</v>
      </c>
      <c r="U1368" t="str">
        <f>"https://portaletrasparenza.consorziobacchiglione.it/download/attodigara/7160/63ac45cc8ff10.PDF"</f>
        <v>https://portaletrasparenza.consorziobacchiglione.it/download/attodigara/7160/63ac45cc8ff10.PDF</v>
      </c>
      <c r="V13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69" spans="1:22" x14ac:dyDescent="0.3">
      <c r="A1369" t="str">
        <f>"Affidamento"</f>
        <v>Affidamento</v>
      </c>
      <c r="B1369" t="str">
        <f>"Fornitura n.5 Smartphone Samsung mod. A02S e n.3 Smartphone Samsung mod. A12, dotati di NFC per rilevazione timbratura, per personale dipendente"</f>
        <v>Fornitura n.5 Smartphone Samsung mod. A02S e n.3 Smartphone Samsung mod. A12, dotati di NFC per rilevazione timbratura, per personale dipendente</v>
      </c>
      <c r="C1369" t="str">
        <f>"Z413395115"</f>
        <v>Z413395115</v>
      </c>
      <c r="D1369" t="str">
        <f>"22/10/2021"</f>
        <v>22/10/2021</v>
      </c>
      <c r="E1369" t="str">
        <f>""</f>
        <v/>
      </c>
      <c r="F1369" t="str">
        <f>""</f>
        <v/>
      </c>
      <c r="G1369" t="str">
        <f>"1097.73"</f>
        <v>1097.73</v>
      </c>
      <c r="H1369" t="str">
        <f>"Consorzio di bonifica Bacchiglione"</f>
        <v>Consorzio di bonifica Bacchiglione</v>
      </c>
      <c r="I1369" t="str">
        <f>"92223390284"</f>
        <v>92223390284</v>
      </c>
      <c r="J1369" t="str">
        <f>"23-AFFIDAMENTO DIRETTO"</f>
        <v>23-AFFIDAMENTO DIRETTO</v>
      </c>
      <c r="K1369" t="str">
        <f>"22/10/2021"</f>
        <v>22/10/2021</v>
      </c>
      <c r="L1369" t="str">
        <f>"31/12/2021"</f>
        <v>31/12/2021</v>
      </c>
      <c r="M1369" t="str">
        <f>""</f>
        <v/>
      </c>
      <c r="N1369" t="str">
        <f>"Idea Service SNC Via Noalese Sud 68 - 30030 Mellaredo di Pianiga (VE)"</f>
        <v>Idea Service SNC Via Noalese Sud 68 - 30030 Mellaredo di Pianiga (VE)</v>
      </c>
      <c r="O1369" t="str">
        <f>"Idea Service SNC Via Noalese Sud 68 - 30030 Mellaredo di Pianiga (VE)"</f>
        <v>Idea Service SNC Via Noalese Sud 68 - 30030 Mellaredo di Pianiga (VE)</v>
      </c>
      <c r="P1369" t="str">
        <f>"Z413395115: [539.70€ ]"</f>
        <v>Z413395115: [539.70€ ]</v>
      </c>
      <c r="Q1369" t="str">
        <f>""</f>
        <v/>
      </c>
      <c r="R1369" t="str">
        <f>""</f>
        <v/>
      </c>
      <c r="S1369" t="str">
        <f>""</f>
        <v/>
      </c>
      <c r="T1369" t="str">
        <f>"https://portaletrasparenza.consorziobacchiglione.it/dettagli/attodigara/7227/fornitura-n-5-smartphone-samsung-mod-a02s-e-n-3-smartphone-samsung-mod-a12-dotati-di-nfc-per-rilevazione-timbratura-per-personale-dipendente.html"</f>
        <v>https://portaletrasparenza.consorziobacchiglione.it/dettagli/attodigara/7227/fornitura-n-5-smartphone-samsung-mod-a02s-e-n-3-smartphone-samsung-mod-a12-dotati-di-nfc-per-rilevazione-timbratura-per-personale-dipendente.html</v>
      </c>
      <c r="U1369" t="str">
        <f>"https://portaletrasparenza.consorziobacchiglione.it/download/attodigara/7227/63ac45dde2035.PDF"</f>
        <v>https://portaletrasparenza.consorziobacchiglione.it/download/attodigara/7227/63ac45dde2035.PDF</v>
      </c>
      <c r="V1369">
        <f>(SUBSTITUTE(Tabella1[[#This Row],[Importo di aggiudicazione]],".",","))-(SUBSTITUTE(  SUBSTITUTE(          SUBSTITUTE(Tabella1[[#This Row],[Dettaglio somme liquidate]],Tabella1[[#This Row],[CIG]]&amp;": [",""),"€ ]",""),".",","))</f>
        <v>558.03</v>
      </c>
    </row>
    <row r="1370" spans="1:22" x14ac:dyDescent="0.3">
      <c r="A1370" t="str">
        <f>"Affidamento"</f>
        <v>Affidamento</v>
      </c>
      <c r="B1370" t="str">
        <f>"Redazione del PSC in fase di progettazione ed esecuzione dei lavori del progetto di eliminazione del sifonamento sul Canale Altipiano - Processo ID 018-20."</f>
        <v>Redazione del PSC in fase di progettazione ed esecuzione dei lavori del progetto di eliminazione del sifonamento sul Canale Altipiano - Processo ID 018-20.</v>
      </c>
      <c r="C1370" t="str">
        <f>"Z8333932D4"</f>
        <v>Z8333932D4</v>
      </c>
      <c r="D1370" t="str">
        <f>"22/10/2021"</f>
        <v>22/10/2021</v>
      </c>
      <c r="E1370" t="str">
        <f>""</f>
        <v/>
      </c>
      <c r="F1370" t="str">
        <f>""</f>
        <v/>
      </c>
      <c r="G1370" t="str">
        <f>"1560.00"</f>
        <v>1560.00</v>
      </c>
      <c r="H1370" t="str">
        <f>"Consorzio di bonifica Bacchiglione"</f>
        <v>Consorzio di bonifica Bacchiglione</v>
      </c>
      <c r="I1370" t="str">
        <f>"92223390284"</f>
        <v>92223390284</v>
      </c>
      <c r="J1370" t="str">
        <f>"23-AFFIDAMENTO DIRETTO"</f>
        <v>23-AFFIDAMENTO DIRETTO</v>
      </c>
      <c r="K1370" t="str">
        <f>"22/10/2021"</f>
        <v>22/10/2021</v>
      </c>
      <c r="L1370" t="str">
        <f>"31/12/2021"</f>
        <v>31/12/2021</v>
      </c>
      <c r="M1370" t="str">
        <f>""</f>
        <v/>
      </c>
      <c r="N1370" t="str">
        <f>"Ing. Marangon Denis"</f>
        <v>Ing. Marangon Denis</v>
      </c>
      <c r="O1370" t="str">
        <f>"Ing. Marangon Denis"</f>
        <v>Ing. Marangon Denis</v>
      </c>
      <c r="P1370" t="str">
        <f>"Z8333932D4: [0.00€ ]"</f>
        <v>Z8333932D4: [0.00€ ]</v>
      </c>
      <c r="Q1370" t="str">
        <f>""</f>
        <v/>
      </c>
      <c r="R1370" t="str">
        <f>""</f>
        <v/>
      </c>
      <c r="S1370" t="str">
        <f>""</f>
        <v/>
      </c>
      <c r="T1370" t="str">
        <f>"https://portaletrasparenza.consorziobacchiglione.it/dettagli/attodigara/7226/redazione-del-psc-in-fase-di-progettazione-ed-esecuzione-dei-lavori-del-progetto-di-eliminazione-del-sifonamento-sul-canale-altipiano-processo-id-018-20.html"</f>
        <v>https://portaletrasparenza.consorziobacchiglione.it/dettagli/attodigara/7226/redazione-del-psc-in-fase-di-progettazione-ed-esecuzione-dei-lavori-del-progetto-di-eliminazione-del-sifonamento-sul-canale-altipiano-processo-id-018-20.html</v>
      </c>
      <c r="U1370" t="str">
        <f>"https://portaletrasparenza.consorziobacchiglione.it/download/attodigara/7226/62a20aaa88cbf.PDF"</f>
        <v>https://portaletrasparenza.consorziobacchiglione.it/download/attodigara/7226/62a20aaa88cbf.PDF</v>
      </c>
      <c r="V1370">
        <f>(SUBSTITUTE(Tabella1[[#This Row],[Importo di aggiudicazione]],".",","))-(SUBSTITUTE(  SUBSTITUTE(          SUBSTITUTE(Tabella1[[#This Row],[Dettaglio somme liquidate]],Tabella1[[#This Row],[CIG]]&amp;": [",""),"€ ]",""),".",","))</f>
        <v>1560</v>
      </c>
    </row>
    <row r="1371" spans="1:22" x14ac:dyDescent="0.3">
      <c r="A1371" t="str">
        <f>"Affidamento"</f>
        <v>Affidamento</v>
      </c>
      <c r="B1371" t="str">
        <f>"Consulenza informatico - organizzativa per l'adeguamento delle funzionalità del database \'GDP\' aree Amministrazione, Manutenzione e Nuovi Lavori"</f>
        <v>Consulenza informatico - organizzativa per l'adeguamento delle funzionalità del database \'GDP\' aree Amministrazione, Manutenzione e Nuovi Lavori</v>
      </c>
      <c r="C1371" t="str">
        <f>"ZB21C25082"</f>
        <v>ZB21C25082</v>
      </c>
      <c r="D1371" t="str">
        <f>"04/11/2021"</f>
        <v>04/11/2021</v>
      </c>
      <c r="E1371" t="str">
        <f>""</f>
        <v/>
      </c>
      <c r="F1371" t="str">
        <f>""</f>
        <v/>
      </c>
      <c r="G1371" t="str">
        <f>"1040.00"</f>
        <v>1040.00</v>
      </c>
      <c r="H1371" t="str">
        <f>"Consorzio di bonifica Bacchiglione"</f>
        <v>Consorzio di bonifica Bacchiglione</v>
      </c>
      <c r="I1371" t="str">
        <f>"92223390284"</f>
        <v>92223390284</v>
      </c>
      <c r="J1371" t="str">
        <f>"23-AFFIDAMENTO DIRETTO"</f>
        <v>23-AFFIDAMENTO DIRETTO</v>
      </c>
      <c r="K1371" t="str">
        <f>"22/11/2021"</f>
        <v>22/11/2021</v>
      </c>
      <c r="L1371" t="str">
        <f>"04/01/2021"</f>
        <v>04/01/2021</v>
      </c>
      <c r="M1371" t="str">
        <f>""</f>
        <v/>
      </c>
      <c r="N1371" t="str">
        <f>"Ing. Gianni Furlan Via Jacopo Crescini 61 35126 Padova"</f>
        <v>Ing. Gianni Furlan Via Jacopo Crescini 61 35126 Padova</v>
      </c>
      <c r="O1371" t="str">
        <f>"Ing. Gianni Furlan Via Jacopo Crescini 61 35126 Padova"</f>
        <v>Ing. Gianni Furlan Via Jacopo Crescini 61 35126 Padova</v>
      </c>
      <c r="P1371" t="str">
        <f>"ZB21C25082: [1040.00€ ]"</f>
        <v>ZB21C25082: [1040.00€ ]</v>
      </c>
      <c r="Q1371" t="str">
        <f>""</f>
        <v/>
      </c>
      <c r="R1371" t="str">
        <f>""</f>
        <v/>
      </c>
      <c r="S1371" t="str">
        <f>""</f>
        <v/>
      </c>
      <c r="T1371" t="str">
        <f>"https://portaletrasparenza.consorziobacchiglione.it/dettagli/attodigara/938/consulenza-informatico-organizzativa-per-l-adeguamento-delle-funzionalita-del-database-gdp-aree-amministrazione-manutenzione-e-nuovi-lavori.html"</f>
        <v>https://portaletrasparenza.consorziobacchiglione.it/dettagli/attodigara/938/consulenza-informatico-organizzativa-per-l-adeguamento-delle-funzionalita-del-database-gdp-aree-amministrazione-manutenzione-e-nuovi-lavori.html</v>
      </c>
      <c r="U1371" t="str">
        <f>""</f>
        <v/>
      </c>
      <c r="V137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72" spans="1:22" x14ac:dyDescent="0.3">
      <c r="A1372" t="str">
        <f>"Affidamento"</f>
        <v>Affidamento</v>
      </c>
      <c r="B1372" t="str">
        <f>"Fornitura ricambi vari per decespugliatori C.O.S.Margherita"</f>
        <v>Fornitura ricambi vari per decespugliatori C.O.S.Margherita</v>
      </c>
      <c r="C1372" t="str">
        <f>"Z281C23B00"</f>
        <v>Z281C23B00</v>
      </c>
      <c r="D1372" t="str">
        <f>"04/11/2021"</f>
        <v>04/11/2021</v>
      </c>
      <c r="E1372" t="str">
        <f>""</f>
        <v/>
      </c>
      <c r="F1372" t="str">
        <f>""</f>
        <v/>
      </c>
      <c r="G1372" t="str">
        <f>"227.46"</f>
        <v>227.46</v>
      </c>
      <c r="H1372" t="str">
        <f>"Consorzio di bonifica Bacchiglione"</f>
        <v>Consorzio di bonifica Bacchiglione</v>
      </c>
      <c r="I1372" t="str">
        <f>"92223390284"</f>
        <v>92223390284</v>
      </c>
      <c r="J1372" t="str">
        <f>"23-AFFIDAMENTO DIRETTO"</f>
        <v>23-AFFIDAMENTO DIRETTO</v>
      </c>
      <c r="K1372" t="str">
        <f>"22/11/2021"</f>
        <v>22/11/2021</v>
      </c>
      <c r="L1372" t="str">
        <f>"04/01/2021"</f>
        <v>04/01/2021</v>
      </c>
      <c r="M1372" t="str">
        <f>""</f>
        <v/>
      </c>
      <c r="N1372" t="str">
        <f>"Frizzarin Riccardo Via Papa Giovanni XXXIII 20 35026 Conselve PD"</f>
        <v>Frizzarin Riccardo Via Papa Giovanni XXXIII 20 35026 Conselve PD</v>
      </c>
      <c r="O1372" t="str">
        <f>"Frizzarin Riccardo Via Papa Giovanni XXXIII 20 35026 Conselve PD"</f>
        <v>Frizzarin Riccardo Via Papa Giovanni XXXIII 20 35026 Conselve PD</v>
      </c>
      <c r="P1372" t="str">
        <f>"Z281C23B00: [227.46€ ]"</f>
        <v>Z281C23B00: [227.46€ ]</v>
      </c>
      <c r="Q1372" t="str">
        <f>""</f>
        <v/>
      </c>
      <c r="R1372" t="str">
        <f>""</f>
        <v/>
      </c>
      <c r="S1372" t="str">
        <f>""</f>
        <v/>
      </c>
      <c r="T1372" t="str">
        <f>"https://portaletrasparenza.consorziobacchiglione.it/dettagli/attodigara/937/fornitura-ricambi-vari-per-decespugliatori-c-o-s-margherita.html"</f>
        <v>https://portaletrasparenza.consorziobacchiglione.it/dettagli/attodigara/937/fornitura-ricambi-vari-per-decespugliatori-c-o-s-margherita.html</v>
      </c>
      <c r="U1372" t="str">
        <f>""</f>
        <v/>
      </c>
      <c r="V137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73" spans="1:22" x14ac:dyDescent="0.3">
      <c r="A1373" t="str">
        <f>"Affidamento"</f>
        <v>Affidamento</v>
      </c>
      <c r="B1373" t="str">
        <f>"Lavori su scolo Liettoli in comune di Campolongo Maggiore (Liettoli)"</f>
        <v>Lavori su scolo Liettoli in comune di Campolongo Maggiore (Liettoli)</v>
      </c>
      <c r="C1373" t="str">
        <f>"ZF61C2194D"</f>
        <v>ZF61C2194D</v>
      </c>
      <c r="D1373" t="str">
        <f>"04/11/2021"</f>
        <v>04/11/2021</v>
      </c>
      <c r="E1373" t="str">
        <f>""</f>
        <v/>
      </c>
      <c r="F1373" t="str">
        <f>""</f>
        <v/>
      </c>
      <c r="G1373" t="str">
        <f>"39460.00"</f>
        <v>39460.00</v>
      </c>
      <c r="H1373" t="str">
        <f>"Consorzio di bonifica Bacchiglione"</f>
        <v>Consorzio di bonifica Bacchiglione</v>
      </c>
      <c r="I1373" t="str">
        <f>"92223390284"</f>
        <v>92223390284</v>
      </c>
      <c r="J1373" t="str">
        <f>"23-AFFIDAMENTO DIRETTO"</f>
        <v>23-AFFIDAMENTO DIRETTO</v>
      </c>
      <c r="K1373" t="str">
        <f>"22/11/2021"</f>
        <v>22/11/2021</v>
      </c>
      <c r="L1373" t="str">
        <f>"04/01/2021"</f>
        <v>04/01/2021</v>
      </c>
      <c r="M1373" t="str">
        <f>""</f>
        <v/>
      </c>
      <c r="N1373" t="str">
        <f>"Martini Silvestro S.R.L. Via IV Novembre 1232 35030 Zovon di Vò PD | Costruzioni Ing. Carlo Broetto S.L.R. Via Meucci 1 35037 Teolo PD | Impresa Pasqual Zemiro S.R.L. Via seriola veneta sinistra 64 30034 Malcontenta VE"</f>
        <v>Martini Silvestro S.R.L. Via IV Novembre 1232 35030 Zovon di Vò PD | Costruzioni Ing. Carlo Broetto S.L.R. Via Meucci 1 35037 Teolo PD | Impresa Pasqual Zemiro S.R.L. Via seriola veneta sinistra 64 30034 Malcontenta VE</v>
      </c>
      <c r="O1373" t="str">
        <f>"Martini Silvestro S.R.L. Via IV Novembre 1232 35030 Zovon di Vò PD"</f>
        <v>Martini Silvestro S.R.L. Via IV Novembre 1232 35030 Zovon di Vò PD</v>
      </c>
      <c r="P1373" t="str">
        <f>"ZF61C2194D: [39458.75€ ]"</f>
        <v>ZF61C2194D: [39458.75€ ]</v>
      </c>
      <c r="Q1373" t="str">
        <f>""</f>
        <v/>
      </c>
      <c r="R1373" t="str">
        <f>""</f>
        <v/>
      </c>
      <c r="S1373" t="str">
        <f>""</f>
        <v/>
      </c>
      <c r="T1373" t="str">
        <f>"https://portaletrasparenza.consorziobacchiglione.it/dettagli/attodigara/936/lavori-su-scolo-liettoli-in-comune-di-campolongo-maggiore-liettoli.html"</f>
        <v>https://portaletrasparenza.consorziobacchiglione.it/dettagli/attodigara/936/lavori-su-scolo-liettoli-in-comune-di-campolongo-maggiore-liettoli.html</v>
      </c>
      <c r="U1373" t="str">
        <f>""</f>
        <v/>
      </c>
      <c r="V1373">
        <f>(SUBSTITUTE(Tabella1[[#This Row],[Importo di aggiudicazione]],".",","))-(SUBSTITUTE(  SUBSTITUTE(          SUBSTITUTE(Tabella1[[#This Row],[Dettaglio somme liquidate]],Tabella1[[#This Row],[CIG]]&amp;": [",""),"€ ]",""),".",","))</f>
        <v>1.25</v>
      </c>
    </row>
    <row r="1374" spans="1:22" x14ac:dyDescent="0.3">
      <c r="A1374" t="str">
        <f>"Affidamento"</f>
        <v>Affidamento</v>
      </c>
      <c r="B1374" t="str">
        <f>"Fornitura tavole in legno di Larice prismate lavorate con maschio e femmina per Bacino Pratiarcati e Montà Portello"</f>
        <v>Fornitura tavole in legno di Larice prismate lavorate con maschio e femmina per Bacino Pratiarcati e Montà Portello</v>
      </c>
      <c r="C1374" t="str">
        <f>"ZCA3405BD5"</f>
        <v>ZCA3405BD5</v>
      </c>
      <c r="D1374" t="str">
        <f>"23/11/2021"</f>
        <v>23/11/2021</v>
      </c>
      <c r="E1374" t="str">
        <f>""</f>
        <v/>
      </c>
      <c r="F1374" t="str">
        <f>""</f>
        <v/>
      </c>
      <c r="G1374" t="str">
        <f>"6030.00"</f>
        <v>6030.00</v>
      </c>
      <c r="H1374" t="str">
        <f>"Consorzio di bonifica Bacchiglione"</f>
        <v>Consorzio di bonifica Bacchiglione</v>
      </c>
      <c r="I1374" t="str">
        <f>"92223390284"</f>
        <v>92223390284</v>
      </c>
      <c r="J1374" t="str">
        <f>"23-AFFIDAMENTO DIRETTO"</f>
        <v>23-AFFIDAMENTO DIRETTO</v>
      </c>
      <c r="K1374" t="str">
        <f>"22/11/2021"</f>
        <v>22/11/2021</v>
      </c>
      <c r="L1374" t="str">
        <f>"18/01/2022"</f>
        <v>18/01/2022</v>
      </c>
      <c r="M1374" t="str">
        <f>""</f>
        <v/>
      </c>
      <c r="N1374" t="str">
        <f>"Falegnameria Ossari s.n.c. Via degli Artigiani, 4 - 35025 Cartura (PD)"</f>
        <v>Falegnameria Ossari s.n.c. Via degli Artigiani, 4 - 35025 Cartura (PD)</v>
      </c>
      <c r="O1374" t="str">
        <f>"Falegnameria Ossari s.n.c. Via degli Artigiani, 4 - 35025 Cartura (PD)"</f>
        <v>Falegnameria Ossari s.n.c. Via degli Artigiani, 4 - 35025 Cartura (PD)</v>
      </c>
      <c r="P1374" t="str">
        <f>"ZCA3405BD5: [6030.00€ ]"</f>
        <v>ZCA3405BD5: [6030.00€ ]</v>
      </c>
      <c r="Q1374" t="str">
        <f>""</f>
        <v/>
      </c>
      <c r="R1374" t="str">
        <f>""</f>
        <v/>
      </c>
      <c r="S1374" t="str">
        <f>""</f>
        <v/>
      </c>
      <c r="T1374" t="str">
        <f>"https://portaletrasparenza.consorziobacchiglione.it/dettagli/attodigara/7299/fornitura-tavole-in-legno-di-larice-prismate-lavorate-con-maschio-e-femmina-per-bacino-pratiarcati-e-monta-portello.html"</f>
        <v>https://portaletrasparenza.consorziobacchiglione.it/dettagli/attodigara/7299/fornitura-tavole-in-legno-di-larice-prismate-lavorate-con-maschio-e-femmina-per-bacino-pratiarcati-e-monta-portello.html</v>
      </c>
      <c r="U1374" t="str">
        <f>"https://portaletrasparenza.consorziobacchiglione.it/download/attodigara/7299/63ac45ed6cddc.PDF"</f>
        <v>https://portaletrasparenza.consorziobacchiglione.it/download/attodigara/7299/63ac45ed6cddc.PDF</v>
      </c>
      <c r="V137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75" spans="1:22" x14ac:dyDescent="0.3">
      <c r="A1375" t="str">
        <f>"Affidamento"</f>
        <v>Affidamento</v>
      </c>
      <c r="B1375" t="str">
        <f>"Sostituzione n.1 sedile wc bianco per bagno piano terra, e installazione n.1 wc bianco Dolomite rallentato per bagno secondo piano"</f>
        <v>Sostituzione n.1 sedile wc bianco per bagno piano terra, e installazione n.1 wc bianco Dolomite rallentato per bagno secondo piano</v>
      </c>
      <c r="C1375" t="str">
        <f>"Z773405817"</f>
        <v>Z773405817</v>
      </c>
      <c r="D1375" t="str">
        <f>"23/11/2021"</f>
        <v>23/11/2021</v>
      </c>
      <c r="E1375" t="str">
        <f>""</f>
        <v/>
      </c>
      <c r="F1375" t="str">
        <f>""</f>
        <v/>
      </c>
      <c r="G1375" t="str">
        <f>"141.10"</f>
        <v>141.10</v>
      </c>
      <c r="H1375" t="str">
        <f>"Consorzio di bonifica Bacchiglione"</f>
        <v>Consorzio di bonifica Bacchiglione</v>
      </c>
      <c r="I1375" t="str">
        <f>"92223390284"</f>
        <v>92223390284</v>
      </c>
      <c r="J1375" t="str">
        <f>"23-AFFIDAMENTO DIRETTO"</f>
        <v>23-AFFIDAMENTO DIRETTO</v>
      </c>
      <c r="K1375" t="str">
        <f>"22/11/2021"</f>
        <v>22/11/2021</v>
      </c>
      <c r="L1375" t="str">
        <f>"30/11/2021"</f>
        <v>30/11/2021</v>
      </c>
      <c r="M1375" t="str">
        <f>""</f>
        <v/>
      </c>
      <c r="N1375" t="str">
        <f>"Giraldo Impianti SNC di Giraldo Danilo e Silvio Via Flli Cervi 1-II 30010 Campolongo Maggiore VE"</f>
        <v>Giraldo Impianti SNC di Giraldo Danilo e Silvio Via Flli Cervi 1-II 30010 Campolongo Maggiore VE</v>
      </c>
      <c r="O1375" t="str">
        <f>"Giraldo Impianti SNC di Giraldo Danilo e Silvio Via Flli Cervi 1-II 30010 Campolongo Maggiore VE"</f>
        <v>Giraldo Impianti SNC di Giraldo Danilo e Silvio Via Flli Cervi 1-II 30010 Campolongo Maggiore VE</v>
      </c>
      <c r="P1375" t="str">
        <f>"Z773405817: [141.10€ ]"</f>
        <v>Z773405817: [141.10€ ]</v>
      </c>
      <c r="Q1375" t="str">
        <f>""</f>
        <v/>
      </c>
      <c r="R1375" t="str">
        <f>""</f>
        <v/>
      </c>
      <c r="S1375" t="str">
        <f>""</f>
        <v/>
      </c>
      <c r="T1375" t="str">
        <f>"https://portaletrasparenza.consorziobacchiglione.it/dettagli/attodigara/7298/sostituzione-n-1-sedile-wc-bianco-per-bagno-piano-terra-e-installazione-n-1-wc-bianco-dolomite-rallentato-per-bagno-secondo-piano.html"</f>
        <v>https://portaletrasparenza.consorziobacchiglione.it/dettagli/attodigara/7298/sostituzione-n-1-sedile-wc-bianco-per-bagno-piano-terra-e-installazione-n-1-wc-bianco-dolomite-rallentato-per-bagno-secondo-piano.html</v>
      </c>
      <c r="U1375" t="str">
        <f>"https://portaletrasparenza.consorziobacchiglione.it/download/attodigara/7298/63ac45ed33fac.PDF"</f>
        <v>https://portaletrasparenza.consorziobacchiglione.it/download/attodigara/7298/63ac45ed33fac.PDF</v>
      </c>
      <c r="V137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76" spans="1:22" x14ac:dyDescent="0.3">
      <c r="A1376" t="str">
        <f>"Affidamento"</f>
        <v>Affidamento</v>
      </c>
      <c r="B1376" t="str">
        <f>"Canone di abbonamento al servizio di monitoraggio satellitare su mezzo con targa : FF284VN"</f>
        <v>Canone di abbonamento al servizio di monitoraggio satellitare su mezzo con targa : FF284VN</v>
      </c>
      <c r="C1376" t="str">
        <f>"ZF61CAD7B6"</f>
        <v>ZF61CAD7B6</v>
      </c>
      <c r="D1376" t="str">
        <f>"04/11/2021"</f>
        <v>04/11/2021</v>
      </c>
      <c r="E1376" t="str">
        <f>""</f>
        <v/>
      </c>
      <c r="F1376" t="str">
        <f>""</f>
        <v/>
      </c>
      <c r="G1376" t="str">
        <f>"125.00"</f>
        <v>125.00</v>
      </c>
      <c r="H1376" t="str">
        <f>"Consorzio di bonifica Bacchiglione"</f>
        <v>Consorzio di bonifica Bacchiglione</v>
      </c>
      <c r="I1376" t="str">
        <f>"92223390284"</f>
        <v>92223390284</v>
      </c>
      <c r="J1376" t="str">
        <f>"23-AFFIDAMENTO DIRETTO"</f>
        <v>23-AFFIDAMENTO DIRETTO</v>
      </c>
      <c r="K1376" t="str">
        <f>"22/12/2021"</f>
        <v>22/12/2021</v>
      </c>
      <c r="L1376" t="str">
        <f>"05/01/2021"</f>
        <v>05/01/2021</v>
      </c>
      <c r="M1376" t="str">
        <f>""</f>
        <v/>
      </c>
      <c r="N1376" t="str">
        <f>"GuardOne Italia S.r.L. Unipersonale Via XXV Aprile 9 20875 Burago di Molgora MB"</f>
        <v>GuardOne Italia S.r.L. Unipersonale Via XXV Aprile 9 20875 Burago di Molgora MB</v>
      </c>
      <c r="O1376" t="str">
        <f>"GuardOne Italia S.r.L. Unipersonale Via XXV Aprile 9 20875 Burago di Molgora MB"</f>
        <v>GuardOne Italia S.r.L. Unipersonale Via XXV Aprile 9 20875 Burago di Molgora MB</v>
      </c>
      <c r="P1376" t="str">
        <f>"ZF61CAD7B6: [125.00€ ]"</f>
        <v>ZF61CAD7B6: [125.00€ ]</v>
      </c>
      <c r="Q1376" t="str">
        <f>""</f>
        <v/>
      </c>
      <c r="R1376" t="str">
        <f>""</f>
        <v/>
      </c>
      <c r="S1376" t="str">
        <f>""</f>
        <v/>
      </c>
      <c r="T1376" t="str">
        <f>"https://portaletrasparenza.consorziobacchiglione.it/dettagli/attodigara/1036/canone-di-abbonamento-al-servizio-di-monitoraggio-satellitare-su-mezzo-con-targa-ff284vn.html"</f>
        <v>https://portaletrasparenza.consorziobacchiglione.it/dettagli/attodigara/1036/canone-di-abbonamento-al-servizio-di-monitoraggio-satellitare-su-mezzo-con-targa-ff284vn.html</v>
      </c>
      <c r="U1376" t="str">
        <f>""</f>
        <v/>
      </c>
      <c r="V137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77" spans="1:22" x14ac:dyDescent="0.3">
      <c r="A1377" t="str">
        <f>"Affidamento"</f>
        <v>Affidamento</v>
      </c>
      <c r="B1377" t="str">
        <f>"Rinnovo canone di abbonamento al servizio di monitoraggio satellitare del parco macchine Consorziale"</f>
        <v>Rinnovo canone di abbonamento al servizio di monitoraggio satellitare del parco macchine Consorziale</v>
      </c>
      <c r="C1377" t="str">
        <f>"Z4E1CAD68D"</f>
        <v>Z4E1CAD68D</v>
      </c>
      <c r="D1377" t="str">
        <f>"04/11/2021"</f>
        <v>04/11/2021</v>
      </c>
      <c r="E1377" t="str">
        <f>""</f>
        <v/>
      </c>
      <c r="F1377" t="str">
        <f>""</f>
        <v/>
      </c>
      <c r="G1377" t="str">
        <f>"4875.00"</f>
        <v>4875.00</v>
      </c>
      <c r="H1377" t="str">
        <f>"Consorzio di bonifica Bacchiglione"</f>
        <v>Consorzio di bonifica Bacchiglione</v>
      </c>
      <c r="I1377" t="str">
        <f>"92223390284"</f>
        <v>92223390284</v>
      </c>
      <c r="J1377" t="str">
        <f>"23-AFFIDAMENTO DIRETTO"</f>
        <v>23-AFFIDAMENTO DIRETTO</v>
      </c>
      <c r="K1377" t="str">
        <f>"22/12/2021"</f>
        <v>22/12/2021</v>
      </c>
      <c r="L1377" t="str">
        <f>"05/01/2021"</f>
        <v>05/01/2021</v>
      </c>
      <c r="M1377" t="str">
        <f>""</f>
        <v/>
      </c>
      <c r="N1377" t="str">
        <f>"GuardOne Italia S.r.L. Unipersonale Via XXV Aprile 9 20875 Burago di Molgora MB"</f>
        <v>GuardOne Italia S.r.L. Unipersonale Via XXV Aprile 9 20875 Burago di Molgora MB</v>
      </c>
      <c r="O1377" t="str">
        <f>"GuardOne Italia S.r.L. Unipersonale Via XXV Aprile 9 20875 Burago di Molgora MB"</f>
        <v>GuardOne Italia S.r.L. Unipersonale Via XXV Aprile 9 20875 Burago di Molgora MB</v>
      </c>
      <c r="P1377" t="str">
        <f>"Z4E1CAD68D: [4875.00€ ]"</f>
        <v>Z4E1CAD68D: [4875.00€ ]</v>
      </c>
      <c r="Q1377" t="str">
        <f>""</f>
        <v/>
      </c>
      <c r="R1377" t="str">
        <f>""</f>
        <v/>
      </c>
      <c r="S1377" t="str">
        <f>""</f>
        <v/>
      </c>
      <c r="T1377" t="str">
        <f>"https://portaletrasparenza.consorziobacchiglione.it/dettagli/attodigara/1035/rinnovo-canone-di-abbonamento-al-servizio-di-monitoraggio-satellitare-del-parco-macchine-consorziale.html"</f>
        <v>https://portaletrasparenza.consorziobacchiglione.it/dettagli/attodigara/1035/rinnovo-canone-di-abbonamento-al-servizio-di-monitoraggio-satellitare-del-parco-macchine-consorziale.html</v>
      </c>
      <c r="U1377" t="str">
        <f>""</f>
        <v/>
      </c>
      <c r="V13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78" spans="1:22" x14ac:dyDescent="0.3">
      <c r="A1378" t="str">
        <f>"Affidamento"</f>
        <v>Affidamento</v>
      </c>
      <c r="B1378" t="str">
        <f>"Trasporto e posizionamento pompa n 2 Idrovora Maestro"</f>
        <v>Trasporto e posizionamento pompa n 2 Idrovora Maestro</v>
      </c>
      <c r="C1378" t="str">
        <f>"Z751CA9F5F"</f>
        <v>Z751CA9F5F</v>
      </c>
      <c r="D1378" t="str">
        <f>"04/11/2021"</f>
        <v>04/11/2021</v>
      </c>
      <c r="E1378" t="str">
        <f>""</f>
        <v/>
      </c>
      <c r="F1378" t="str">
        <f>""</f>
        <v/>
      </c>
      <c r="G1378" t="str">
        <f>"810.00"</f>
        <v>810.00</v>
      </c>
      <c r="H1378" t="str">
        <f>"Consorzio di bonifica Bacchiglione"</f>
        <v>Consorzio di bonifica Bacchiglione</v>
      </c>
      <c r="I1378" t="str">
        <f>"92223390284"</f>
        <v>92223390284</v>
      </c>
      <c r="J1378" t="str">
        <f>"23-AFFIDAMENTO DIRETTO"</f>
        <v>23-AFFIDAMENTO DIRETTO</v>
      </c>
      <c r="K1378" t="str">
        <f>"22/12/2021"</f>
        <v>22/12/2021</v>
      </c>
      <c r="L1378" t="str">
        <f>"31/12/2021"</f>
        <v>31/12/2021</v>
      </c>
      <c r="M1378" t="str">
        <f>""</f>
        <v/>
      </c>
      <c r="N1378" t="str">
        <f>"Aggio e Figli Autotrasporti s.r.l. Via Chiusure 47 35020 Maserà di Padova PD"</f>
        <v>Aggio e Figli Autotrasporti s.r.l. Via Chiusure 47 35020 Maserà di Padova PD</v>
      </c>
      <c r="O1378" t="str">
        <f>"Aggio e Figli Autotrasporti s.r.l. Via Chiusure 47 35020 Maserà di Padova PD"</f>
        <v>Aggio e Figli Autotrasporti s.r.l. Via Chiusure 47 35020 Maserà di Padova PD</v>
      </c>
      <c r="P1378" t="str">
        <f>"Z751CA9F5F: [810.00€ ]"</f>
        <v>Z751CA9F5F: [810.00€ ]</v>
      </c>
      <c r="Q1378" t="str">
        <f>""</f>
        <v/>
      </c>
      <c r="R1378" t="str">
        <f>""</f>
        <v/>
      </c>
      <c r="S1378" t="str">
        <f>""</f>
        <v/>
      </c>
      <c r="T1378" t="str">
        <f>"https://portaletrasparenza.consorziobacchiglione.it/dettagli/attodigara/1034/trasporto-e-posizionamento-pompa-n-2-idrovora-maestro.html"</f>
        <v>https://portaletrasparenza.consorziobacchiglione.it/dettagli/attodigara/1034/trasporto-e-posizionamento-pompa-n-2-idrovora-maestro.html</v>
      </c>
      <c r="U1378" t="str">
        <f>""</f>
        <v/>
      </c>
      <c r="V137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79" spans="1:22" x14ac:dyDescent="0.3">
      <c r="A1379" t="str">
        <f>"Affidamento"</f>
        <v>Affidamento</v>
      </c>
      <c r="B1379" t="str">
        <f>"Fornitura n 8 pneumatici per mezzo con targa: PDH521"</f>
        <v>Fornitura n 8 pneumatici per mezzo con targa: PDH521</v>
      </c>
      <c r="C1379" t="str">
        <f>"Z801CA9E6A"</f>
        <v>Z801CA9E6A</v>
      </c>
      <c r="D1379" t="str">
        <f>"04/11/2021"</f>
        <v>04/11/2021</v>
      </c>
      <c r="E1379" t="str">
        <f>""</f>
        <v/>
      </c>
      <c r="F1379" t="str">
        <f>""</f>
        <v/>
      </c>
      <c r="G1379" t="str">
        <f>"2518.00"</f>
        <v>2518.00</v>
      </c>
      <c r="H1379" t="str">
        <f>"Consorzio di bonifica Bacchiglione"</f>
        <v>Consorzio di bonifica Bacchiglione</v>
      </c>
      <c r="I1379" t="str">
        <f>"92223390284"</f>
        <v>92223390284</v>
      </c>
      <c r="J1379" t="str">
        <f>"23-AFFIDAMENTO DIRETTO"</f>
        <v>23-AFFIDAMENTO DIRETTO</v>
      </c>
      <c r="K1379" t="str">
        <f>"22/12/2021"</f>
        <v>22/12/2021</v>
      </c>
      <c r="L1379" t="str">
        <f>"23/01/2021"</f>
        <v>23/01/2021</v>
      </c>
      <c r="M1379" t="str">
        <f>""</f>
        <v/>
      </c>
      <c r="N1379" t="str">
        <f>"Galesso Roberto Via San Rocco 52B 35028 Piove di Sacco PD"</f>
        <v>Galesso Roberto Via San Rocco 52B 35028 Piove di Sacco PD</v>
      </c>
      <c r="O1379" t="str">
        <f>"Galesso Roberto Via San Rocco 52B 35028 Piove di Sacco PD"</f>
        <v>Galesso Roberto Via San Rocco 52B 35028 Piove di Sacco PD</v>
      </c>
      <c r="P1379" t="str">
        <f>"Z801CA9E6A: [2518.00€ ]"</f>
        <v>Z801CA9E6A: [2518.00€ ]</v>
      </c>
      <c r="Q1379" t="str">
        <f>""</f>
        <v/>
      </c>
      <c r="R1379" t="str">
        <f>""</f>
        <v/>
      </c>
      <c r="S1379" t="str">
        <f>""</f>
        <v/>
      </c>
      <c r="T1379" t="str">
        <f>"https://portaletrasparenza.consorziobacchiglione.it/dettagli/attodigara/1033/fornitura-n-8-pneumatici-per-mezzo-con-targa-pdh521.html"</f>
        <v>https://portaletrasparenza.consorziobacchiglione.it/dettagli/attodigara/1033/fornitura-n-8-pneumatici-per-mezzo-con-targa-pdh521.html</v>
      </c>
      <c r="U1379" t="str">
        <f>""</f>
        <v/>
      </c>
      <c r="V13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80" spans="1:22" x14ac:dyDescent="0.3">
      <c r="A1380" t="str">
        <f>"Affidamento"</f>
        <v>Affidamento</v>
      </c>
      <c r="B1380" t="str">
        <f>"Smont/montaggio , riparazione copertura, inversione ant/post su mezzi con targa: FB038DG, PDAF497"</f>
        <v>Smont/montaggio , riparazione copertura, inversione ant/post su mezzi con targa: FB038DG, PDAF497</v>
      </c>
      <c r="C1380" t="str">
        <f>"ZB81CA9DD2"</f>
        <v>ZB81CA9DD2</v>
      </c>
      <c r="D1380" t="str">
        <f>"04/11/2021"</f>
        <v>04/11/2021</v>
      </c>
      <c r="E1380" t="str">
        <f>""</f>
        <v/>
      </c>
      <c r="F1380" t="str">
        <f>""</f>
        <v/>
      </c>
      <c r="G1380" t="str">
        <f>"100.00"</f>
        <v>100.00</v>
      </c>
      <c r="H1380" t="str">
        <f>"Consorzio di bonifica Bacchiglione"</f>
        <v>Consorzio di bonifica Bacchiglione</v>
      </c>
      <c r="I1380" t="str">
        <f>"92223390284"</f>
        <v>92223390284</v>
      </c>
      <c r="J1380" t="str">
        <f>"23-AFFIDAMENTO DIRETTO"</f>
        <v>23-AFFIDAMENTO DIRETTO</v>
      </c>
      <c r="K1380" t="str">
        <f>"22/12/2021"</f>
        <v>22/12/2021</v>
      </c>
      <c r="L1380" t="str">
        <f>"23/01/2021"</f>
        <v>23/01/2021</v>
      </c>
      <c r="M1380" t="str">
        <f>""</f>
        <v/>
      </c>
      <c r="N1380" t="str">
        <f>"Galesso Roberto Via San Rocco 52B 35028 Piove di Sacco PD"</f>
        <v>Galesso Roberto Via San Rocco 52B 35028 Piove di Sacco PD</v>
      </c>
      <c r="O1380" t="str">
        <f>"Galesso Roberto Via San Rocco 52B 35028 Piove di Sacco PD"</f>
        <v>Galesso Roberto Via San Rocco 52B 35028 Piove di Sacco PD</v>
      </c>
      <c r="P1380" t="str">
        <f>"ZB81CA9DD2: [100.00€ ]"</f>
        <v>ZB81CA9DD2: [100.00€ ]</v>
      </c>
      <c r="Q1380" t="str">
        <f>""</f>
        <v/>
      </c>
      <c r="R1380" t="str">
        <f>""</f>
        <v/>
      </c>
      <c r="S1380" t="str">
        <f>""</f>
        <v/>
      </c>
      <c r="T1380" t="str">
        <f>"https://portaletrasparenza.consorziobacchiglione.it/dettagli/attodigara/1032/smont-montaggio-riparazione-copertura-inversione-ant-post-su-mezzi-con-targa-fb038dg-pdaf497.html"</f>
        <v>https://portaletrasparenza.consorziobacchiglione.it/dettagli/attodigara/1032/smont-montaggio-riparazione-copertura-inversione-ant-post-su-mezzi-con-targa-fb038dg-pdaf497.html</v>
      </c>
      <c r="U1380" t="str">
        <f>""</f>
        <v/>
      </c>
      <c r="V138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81" spans="1:22" x14ac:dyDescent="0.3">
      <c r="A1381" t="str">
        <f>"Affidamento"</f>
        <v>Affidamento</v>
      </c>
      <c r="B1381" t="str">
        <f>"Fornitura materiale di ferramenta vario per Bacino Pratiarcati e Porta Trento."</f>
        <v>Fornitura materiale di ferramenta vario per Bacino Pratiarcati e Porta Trento.</v>
      </c>
      <c r="C1381" t="str">
        <f>"Z391CA9BF2"</f>
        <v>Z391CA9BF2</v>
      </c>
      <c r="D1381" t="str">
        <f>"04/11/2021"</f>
        <v>04/11/2021</v>
      </c>
      <c r="E1381" t="str">
        <f>""</f>
        <v/>
      </c>
      <c r="F1381" t="str">
        <f>""</f>
        <v/>
      </c>
      <c r="G1381" t="str">
        <f>"2157.48"</f>
        <v>2157.48</v>
      </c>
      <c r="H1381" t="str">
        <f>"Consorzio di bonifica Bacchiglione"</f>
        <v>Consorzio di bonifica Bacchiglione</v>
      </c>
      <c r="I1381" t="str">
        <f>"92223390284"</f>
        <v>92223390284</v>
      </c>
      <c r="J1381" t="str">
        <f>"23-AFFIDAMENTO DIRETTO"</f>
        <v>23-AFFIDAMENTO DIRETTO</v>
      </c>
      <c r="K1381" t="str">
        <f>"22/12/2021"</f>
        <v>22/12/2021</v>
      </c>
      <c r="L1381" t="str">
        <f>"04/01/2021"</f>
        <v>04/01/2021</v>
      </c>
      <c r="M1381" t="str">
        <f>""</f>
        <v/>
      </c>
      <c r="N1381" t="str">
        <f>"Erre Emme s.n.c. Via Cavour 27 35020 Casalserugo PD"</f>
        <v>Erre Emme s.n.c. Via Cavour 27 35020 Casalserugo PD</v>
      </c>
      <c r="O1381" t="str">
        <f>"Erre Emme s.n.c. Via Cavour 27 35020 Casalserugo PD"</f>
        <v>Erre Emme s.n.c. Via Cavour 27 35020 Casalserugo PD</v>
      </c>
      <c r="P1381" t="str">
        <f>"Z391CA9BF2: [2157.48€ ]"</f>
        <v>Z391CA9BF2: [2157.48€ ]</v>
      </c>
      <c r="Q1381" t="str">
        <f>""</f>
        <v/>
      </c>
      <c r="R1381" t="str">
        <f>""</f>
        <v/>
      </c>
      <c r="S1381" t="str">
        <f>""</f>
        <v/>
      </c>
      <c r="T1381" t="str">
        <f>"https://portaletrasparenza.consorziobacchiglione.it/dettagli/attodigara/1031/fornitura-materiale-di-ferramenta-vario-per-bacino-pratiarcati-e-porta-trento.html"</f>
        <v>https://portaletrasparenza.consorziobacchiglione.it/dettagli/attodigara/1031/fornitura-materiale-di-ferramenta-vario-per-bacino-pratiarcati-e-porta-trento.html</v>
      </c>
      <c r="U1381" t="str">
        <f>""</f>
        <v/>
      </c>
      <c r="V138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82" spans="1:22" x14ac:dyDescent="0.3">
      <c r="A1382" t="str">
        <f>"Affidamento"</f>
        <v>Affidamento</v>
      </c>
      <c r="B1382" t="str">
        <f>"Lavoro di smontaggio completo, pulizia e sabbiatura di tutti i componenti dell'elettrovalvola ED80 Idrovora Trezze"</f>
        <v>Lavoro di smontaggio completo, pulizia e sabbiatura di tutti i componenti dell'elettrovalvola ED80 Idrovora Trezze</v>
      </c>
      <c r="C1382" t="str">
        <f>"ZAC1CA9B91"</f>
        <v>ZAC1CA9B91</v>
      </c>
      <c r="D1382" t="str">
        <f>"04/11/2021"</f>
        <v>04/11/2021</v>
      </c>
      <c r="E1382" t="str">
        <f>""</f>
        <v/>
      </c>
      <c r="F1382" t="str">
        <f>""</f>
        <v/>
      </c>
      <c r="G1382" t="str">
        <f>"1896.00"</f>
        <v>1896.00</v>
      </c>
      <c r="H1382" t="str">
        <f>"Consorzio di bonifica Bacchiglione"</f>
        <v>Consorzio di bonifica Bacchiglione</v>
      </c>
      <c r="I1382" t="str">
        <f>"92223390284"</f>
        <v>92223390284</v>
      </c>
      <c r="J1382" t="str">
        <f>"23-AFFIDAMENTO DIRETTO"</f>
        <v>23-AFFIDAMENTO DIRETTO</v>
      </c>
      <c r="K1382" t="str">
        <f>"22/12/2021"</f>
        <v>22/12/2021</v>
      </c>
      <c r="L1382" t="str">
        <f>"31/01/2021"</f>
        <v>31/01/2021</v>
      </c>
      <c r="M1382" t="str">
        <f>""</f>
        <v/>
      </c>
      <c r="N1382" t="str">
        <f>"Scarpa Sergio Elettromeccanica S.n.c. di Scarpa Paola E C. Via A. Vivaldi 7 35028 Piove di Sacco PD"</f>
        <v>Scarpa Sergio Elettromeccanica S.n.c. di Scarpa Paola E C. Via A. Vivaldi 7 35028 Piove di Sacco PD</v>
      </c>
      <c r="O1382" t="str">
        <f>"Scarpa Sergio Elettromeccanica S.n.c. di Scarpa Paola E C. Via A. Vivaldi 7 35028 Piove di Sacco PD"</f>
        <v>Scarpa Sergio Elettromeccanica S.n.c. di Scarpa Paola E C. Via A. Vivaldi 7 35028 Piove di Sacco PD</v>
      </c>
      <c r="P1382" t="str">
        <f>"ZAC1CA9B91: [1896.00€ ]"</f>
        <v>ZAC1CA9B91: [1896.00€ ]</v>
      </c>
      <c r="Q1382" t="str">
        <f>""</f>
        <v/>
      </c>
      <c r="R1382" t="str">
        <f>""</f>
        <v/>
      </c>
      <c r="S1382" t="str">
        <f>""</f>
        <v/>
      </c>
      <c r="T1382" t="str">
        <f>"https://portaletrasparenza.consorziobacchiglione.it/dettagli/attodigara/1030/lavoro-di-smontaggio-completo-pulizia-e-sabbiatura-di-tutti-i-componenti-dell-elettrovalvola-ed80-idrovora-trezze.html"</f>
        <v>https://portaletrasparenza.consorziobacchiglione.it/dettagli/attodigara/1030/lavoro-di-smontaggio-completo-pulizia-e-sabbiatura-di-tutti-i-componenti-dell-elettrovalvola-ed80-idrovora-trezze.html</v>
      </c>
      <c r="U1382" t="str">
        <f>""</f>
        <v/>
      </c>
      <c r="V13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83" spans="1:22" x14ac:dyDescent="0.3">
      <c r="A1383" t="str">
        <f>"Affidamento"</f>
        <v>Affidamento</v>
      </c>
      <c r="B1383" t="str">
        <f>"Manutenzione e riparazione mezzo con targa: DS717AA"</f>
        <v>Manutenzione e riparazione mezzo con targa: DS717AA</v>
      </c>
      <c r="C1383" t="str">
        <f>"Z691CA9B28"</f>
        <v>Z691CA9B28</v>
      </c>
      <c r="D1383" t="str">
        <f>"04/11/2021"</f>
        <v>04/11/2021</v>
      </c>
      <c r="E1383" t="str">
        <f>""</f>
        <v/>
      </c>
      <c r="F1383" t="str">
        <f>""</f>
        <v/>
      </c>
      <c r="G1383" t="str">
        <f>"541.71"</f>
        <v>541.71</v>
      </c>
      <c r="H1383" t="str">
        <f>"Consorzio di bonifica Bacchiglione"</f>
        <v>Consorzio di bonifica Bacchiglione</v>
      </c>
      <c r="I1383" t="str">
        <f>"92223390284"</f>
        <v>92223390284</v>
      </c>
      <c r="J1383" t="str">
        <f>"23-AFFIDAMENTO DIRETTO"</f>
        <v>23-AFFIDAMENTO DIRETTO</v>
      </c>
      <c r="K1383" t="str">
        <f>"22/12/2021"</f>
        <v>22/12/2021</v>
      </c>
      <c r="L1383" t="str">
        <f>"31/01/2021"</f>
        <v>31/01/2021</v>
      </c>
      <c r="M1383" t="str">
        <f>""</f>
        <v/>
      </c>
      <c r="N1383" t="str">
        <f>"Elettrodiesel Peruzzo s.r.l. Via Tevere 30 35135 Padova"</f>
        <v>Elettrodiesel Peruzzo s.r.l. Via Tevere 30 35135 Padova</v>
      </c>
      <c r="O1383" t="str">
        <f>"Elettrodiesel Peruzzo s.r.l. Via Tevere 30 35135 Padova"</f>
        <v>Elettrodiesel Peruzzo s.r.l. Via Tevere 30 35135 Padova</v>
      </c>
      <c r="P1383" t="str">
        <f>"Z691CA9B28: [541.71€ ]"</f>
        <v>Z691CA9B28: [541.71€ ]</v>
      </c>
      <c r="Q1383" t="str">
        <f>""</f>
        <v/>
      </c>
      <c r="R1383" t="str">
        <f>""</f>
        <v/>
      </c>
      <c r="S1383" t="str">
        <f>""</f>
        <v/>
      </c>
      <c r="T1383" t="str">
        <f>"https://portaletrasparenza.consorziobacchiglione.it/dettagli/attodigara/1029/manutenzione-e-riparazione-mezzo-con-targa-ds717aa.html"</f>
        <v>https://portaletrasparenza.consorziobacchiglione.it/dettagli/attodigara/1029/manutenzione-e-riparazione-mezzo-con-targa-ds717aa.html</v>
      </c>
      <c r="U1383" t="str">
        <f>""</f>
        <v/>
      </c>
      <c r="V138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84" spans="1:22" x14ac:dyDescent="0.3">
      <c r="A1384" t="str">
        <f>"Affidamento"</f>
        <v>Affidamento</v>
      </c>
      <c r="B1384" t="str">
        <f>"Fornitura nuova batteria per mezzo con targa: PDB49360"</f>
        <v>Fornitura nuova batteria per mezzo con targa: PDB49360</v>
      </c>
      <c r="C1384" t="str">
        <f>"ZE01CA9AE0"</f>
        <v>ZE01CA9AE0</v>
      </c>
      <c r="D1384" t="str">
        <f>"04/11/2021"</f>
        <v>04/11/2021</v>
      </c>
      <c r="E1384" t="str">
        <f>""</f>
        <v/>
      </c>
      <c r="F1384" t="str">
        <f>""</f>
        <v/>
      </c>
      <c r="G1384" t="str">
        <f>"210.60"</f>
        <v>210.60</v>
      </c>
      <c r="H1384" t="str">
        <f>"Consorzio di bonifica Bacchiglione"</f>
        <v>Consorzio di bonifica Bacchiglione</v>
      </c>
      <c r="I1384" t="str">
        <f>"92223390284"</f>
        <v>92223390284</v>
      </c>
      <c r="J1384" t="str">
        <f>"23-AFFIDAMENTO DIRETTO"</f>
        <v>23-AFFIDAMENTO DIRETTO</v>
      </c>
      <c r="K1384" t="str">
        <f>"22/12/2021"</f>
        <v>22/12/2021</v>
      </c>
      <c r="L1384" t="str">
        <f>"31/01/2021"</f>
        <v>31/01/2021</v>
      </c>
      <c r="M1384" t="str">
        <f>""</f>
        <v/>
      </c>
      <c r="N1384" t="str">
        <f>"Elettrodiesel Peruzzo s.r.l. Via Tevere 30 35135 Padova"</f>
        <v>Elettrodiesel Peruzzo s.r.l. Via Tevere 30 35135 Padova</v>
      </c>
      <c r="O1384" t="str">
        <f>"Elettrodiesel Peruzzo s.r.l. Via Tevere 30 35135 Padova"</f>
        <v>Elettrodiesel Peruzzo s.r.l. Via Tevere 30 35135 Padova</v>
      </c>
      <c r="P1384" t="str">
        <f>"ZE01CA9AE0: [210.60€ ]"</f>
        <v>ZE01CA9AE0: [210.60€ ]</v>
      </c>
      <c r="Q1384" t="str">
        <f>""</f>
        <v/>
      </c>
      <c r="R1384" t="str">
        <f>""</f>
        <v/>
      </c>
      <c r="S1384" t="str">
        <f>""</f>
        <v/>
      </c>
      <c r="T1384" t="str">
        <f>"https://portaletrasparenza.consorziobacchiglione.it/dettagli/attodigara/1028/fornitura-nuova-batteria-per-mezzo-con-targa-pdb49360.html"</f>
        <v>https://portaletrasparenza.consorziobacchiglione.it/dettagli/attodigara/1028/fornitura-nuova-batteria-per-mezzo-con-targa-pdb49360.html</v>
      </c>
      <c r="U1384" t="str">
        <f>""</f>
        <v/>
      </c>
      <c r="V13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85" spans="1:22" x14ac:dyDescent="0.3">
      <c r="A1385" t="str">
        <f>"Affidamento"</f>
        <v>Affidamento</v>
      </c>
      <c r="B1385" t="str">
        <f>"Rinnovo per l'anno 2022 canone di abbonamento al servizio di monitoraggio satellitare del parco macchine Consorziale"</f>
        <v>Rinnovo per l'anno 2022 canone di abbonamento al servizio di monitoraggio satellitare del parco macchine Consorziale</v>
      </c>
      <c r="C1385" t="str">
        <f>"Z5B348E3D0"</f>
        <v>Z5B348E3D0</v>
      </c>
      <c r="D1385" t="str">
        <f>"23/12/2021"</f>
        <v>23/12/2021</v>
      </c>
      <c r="E1385" t="str">
        <f>""</f>
        <v/>
      </c>
      <c r="F1385" t="str">
        <f>""</f>
        <v/>
      </c>
      <c r="G1385" t="str">
        <f>"6125.00"</f>
        <v>6125.00</v>
      </c>
      <c r="H1385" t="str">
        <f>"Consorzio di bonifica Bacchiglione"</f>
        <v>Consorzio di bonifica Bacchiglione</v>
      </c>
      <c r="I1385" t="str">
        <f>"92223390284"</f>
        <v>92223390284</v>
      </c>
      <c r="J1385" t="str">
        <f>"23-AFFIDAMENTO DIRETTO"</f>
        <v>23-AFFIDAMENTO DIRETTO</v>
      </c>
      <c r="K1385" t="str">
        <f>"22/12/2021"</f>
        <v>22/12/2021</v>
      </c>
      <c r="L1385" t="str">
        <f>"31/12/2021"</f>
        <v>31/12/2021</v>
      </c>
      <c r="M1385" t="str">
        <f>""</f>
        <v/>
      </c>
      <c r="N1385" t="str">
        <f>"GuardOne Italia S.r.L. Unipersonale Via XXV Aprile 9 20875 Burago di Molgora MB"</f>
        <v>GuardOne Italia S.r.L. Unipersonale Via XXV Aprile 9 20875 Burago di Molgora MB</v>
      </c>
      <c r="O1385" t="str">
        <f>"GuardOne Italia S.r.L. Unipersonale Via XXV Aprile 9 20875 Burago di Molgora MB"</f>
        <v>GuardOne Italia S.r.L. Unipersonale Via XXV Aprile 9 20875 Burago di Molgora MB</v>
      </c>
      <c r="P1385" t="str">
        <f>"Z5B348E3D0: [6125.00€ ]"</f>
        <v>Z5B348E3D0: [6125.00€ ]</v>
      </c>
      <c r="Q1385" t="str">
        <f>""</f>
        <v/>
      </c>
      <c r="R1385" t="str">
        <f>""</f>
        <v/>
      </c>
      <c r="S1385" t="str">
        <f>""</f>
        <v/>
      </c>
      <c r="T1385" t="str">
        <f>"https://portaletrasparenza.consorziobacchiglione.it/dettagli/attodigara/7376/rinnovo-per-l-anno-2022-canone-di-abbonamento-al-servizio-di-monitoraggio-satellitare-del-parco-macchine-consorziale.html"</f>
        <v>https://portaletrasparenza.consorziobacchiglione.it/dettagli/attodigara/7376/rinnovo-per-l-anno-2022-canone-di-abbonamento-al-servizio-di-monitoraggio-satellitare-del-parco-macchine-consorziale.html</v>
      </c>
      <c r="U1385" t="str">
        <f>"https://portaletrasparenza.consorziobacchiglione.it/download/attodigara/7376/63ac4600274cf.PDF"</f>
        <v>https://portaletrasparenza.consorziobacchiglione.it/download/attodigara/7376/63ac4600274cf.PDF</v>
      </c>
      <c r="V13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86" spans="1:22" x14ac:dyDescent="0.3">
      <c r="A1386" t="str">
        <f>"Affidamento"</f>
        <v>Affidamento</v>
      </c>
      <c r="B1386" t="str">
        <f>"Assunzione di un mutuo per la realizzazione dei lavori di interesse regionale di costruzione dello scolmatore di piena Limenella - Fossetta per la difesa della zona nord di Padova - anno 2016."</f>
        <v>Assunzione di un mutuo per la realizzazione dei lavori di interesse regionale di costruzione dello scolmatore di piena Limenella - Fossetta per la difesa della zona nord di Padova - anno 2016.</v>
      </c>
      <c r="C1386" t="str">
        <f>"6646482275"</f>
        <v>6646482275</v>
      </c>
      <c r="D1386" t="str">
        <f>"04/11/2021"</f>
        <v>04/11/2021</v>
      </c>
      <c r="E1386" t="str">
        <f>""</f>
        <v/>
      </c>
      <c r="F1386" t="str">
        <f>""</f>
        <v/>
      </c>
      <c r="G1386" t="str">
        <f>"117015.00"</f>
        <v>117015.00</v>
      </c>
      <c r="H1386" t="str">
        <f>"Consorzio di bonifica Bacchiglione"</f>
        <v>Consorzio di bonifica Bacchiglione</v>
      </c>
      <c r="I1386" t="str">
        <f>"92223390284"</f>
        <v>92223390284</v>
      </c>
      <c r="J1386" t="str">
        <f>"08-AFFIDAMENTO IN ECONOMIA - COTTIMO FIDUCIARIO"</f>
        <v>08-AFFIDAMENTO IN ECONOMIA - COTTIMO FIDUCIARIO</v>
      </c>
      <c r="K1386" t="str">
        <f>"23/02/2021"</f>
        <v>23/02/2021</v>
      </c>
      <c r="L1386" t="str">
        <f>"31/12/2021"</f>
        <v>31/12/2021</v>
      </c>
      <c r="M1386" t="str">
        <f>""</f>
        <v/>
      </c>
      <c r="N1386" t="s">
        <v>69</v>
      </c>
      <c r="O1386" t="str">
        <f>"Banco Popolare Società Cooperativa"</f>
        <v>Banco Popolare Società Cooperativa</v>
      </c>
      <c r="P1386" t="str">
        <f>"6646482275: [51601.84€ ]"</f>
        <v>6646482275: [51601.84€ ]</v>
      </c>
      <c r="Q1386" t="str">
        <f>""</f>
        <v/>
      </c>
      <c r="R1386" t="str">
        <f>""</f>
        <v/>
      </c>
      <c r="S1386" t="str">
        <f>""</f>
        <v/>
      </c>
      <c r="T1386" t="s">
        <v>70</v>
      </c>
      <c r="U1386" t="str">
        <f>""</f>
        <v/>
      </c>
      <c r="V1386">
        <f>(SUBSTITUTE(Tabella1[[#This Row],[Importo di aggiudicazione]],".",","))-(SUBSTITUTE(  SUBSTITUTE(          SUBSTITUTE(Tabella1[[#This Row],[Dettaglio somme liquidate]],Tabella1[[#This Row],[CIG]]&amp;": [",""),"€ ]",""),".",","))</f>
        <v>65413.16</v>
      </c>
    </row>
    <row r="1387" spans="1:22" x14ac:dyDescent="0.3">
      <c r="A1387" t="str">
        <f>"Affidamento"</f>
        <v>Affidamento</v>
      </c>
      <c r="B1387" t="str">
        <f>"Gestione della pratica SIAE per la realizzazione del DVD relativo ai lavori del nodo Idraulico di Montegrotto Terme"</f>
        <v>Gestione della pratica SIAE per la realizzazione del DVD relativo ai lavori del nodo Idraulico di Montegrotto Terme</v>
      </c>
      <c r="C1387" t="str">
        <f>"Z1C30C02F3"</f>
        <v>Z1C30C02F3</v>
      </c>
      <c r="D1387" t="str">
        <f>"05/03/2021"</f>
        <v>05/03/2021</v>
      </c>
      <c r="E1387" t="str">
        <f>""</f>
        <v/>
      </c>
      <c r="F1387" t="str">
        <f>""</f>
        <v/>
      </c>
      <c r="G1387" t="str">
        <f>"66.34"</f>
        <v>66.34</v>
      </c>
      <c r="H1387" t="str">
        <f>"Consorzio di bonifica Bacchiglione"</f>
        <v>Consorzio di bonifica Bacchiglione</v>
      </c>
      <c r="I1387" t="str">
        <f>"92223390284"</f>
        <v>92223390284</v>
      </c>
      <c r="J1387" t="str">
        <f>"23-AFFIDAMENTO DIRETTO"</f>
        <v>23-AFFIDAMENTO DIRETTO</v>
      </c>
      <c r="K1387" t="str">
        <f>"23/02/2021"</f>
        <v>23/02/2021</v>
      </c>
      <c r="L1387" t="str">
        <f>"12/04/2021"</f>
        <v>12/04/2021</v>
      </c>
      <c r="M1387" t="str">
        <f>""</f>
        <v/>
      </c>
      <c r="N1387" t="str">
        <f>"Polonord Adeste SRL Via Bonazzi n.7 40013 Castel Maggiore (BO)"</f>
        <v>Polonord Adeste SRL Via Bonazzi n.7 40013 Castel Maggiore (BO)</v>
      </c>
      <c r="O1387" t="str">
        <f>"Polonord Adeste SRL Via Bonazzi n.7 40013 Castel Maggiore (BO)"</f>
        <v>Polonord Adeste SRL Via Bonazzi n.7 40013 Castel Maggiore (BO)</v>
      </c>
      <c r="P1387" t="str">
        <f>"Z1C30C02F3: [66.34€ ]"</f>
        <v>Z1C30C02F3: [66.34€ ]</v>
      </c>
      <c r="Q1387" t="str">
        <f>""</f>
        <v/>
      </c>
      <c r="R1387" t="str">
        <f>""</f>
        <v/>
      </c>
      <c r="S1387" t="str">
        <f>""</f>
        <v/>
      </c>
      <c r="T1387" t="str">
        <f>"https://portaletrasparenza.consorziobacchiglione.it/dettagli/attodigara/6653/gestione-della-pratica-siae-per-la-realizzazione-del-dvd-relativo-ai-lavori-del-nodo-idraulico-di-montegrotto-terme.html"</f>
        <v>https://portaletrasparenza.consorziobacchiglione.it/dettagli/attodigara/6653/gestione-della-pratica-siae-per-la-realizzazione-del-dvd-relativo-ai-lavori-del-nodo-idraulico-di-montegrotto-terme.html</v>
      </c>
      <c r="U1387" t="str">
        <f>"https://portaletrasparenza.consorziobacchiglione.it/download/attodigara/6653/63ac4565d8a5e.PDF"</f>
        <v>https://portaletrasparenza.consorziobacchiglione.it/download/attodigara/6653/63ac4565d8a5e.PDF</v>
      </c>
      <c r="V13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88" spans="1:22" x14ac:dyDescent="0.3">
      <c r="A1388" t="str">
        <f>"Affidamento"</f>
        <v>Affidamento</v>
      </c>
      <c r="B1388" t="str">
        <f>"MAGGIOR IMPORTO PER LA PULIZIA DI SANIFICAZIONI (PRIMA E DOPO LA DISINFEZIONE) DA ESEGUIRSI PRESSO UFFICI SEDE CONSORZIALE"</f>
        <v>MAGGIOR IMPORTO PER LA PULIZIA DI SANIFICAZIONI (PRIMA E DOPO LA DISINFEZIONE) DA ESEGUIRSI PRESSO UFFICI SEDE CONSORZIALE</v>
      </c>
      <c r="C1388" t="str">
        <f>"Z512D03773"</f>
        <v>Z512D03773</v>
      </c>
      <c r="D1388" t="str">
        <f>"23/02/2021"</f>
        <v>23/02/2021</v>
      </c>
      <c r="E1388" t="str">
        <f>""</f>
        <v/>
      </c>
      <c r="F1388" t="str">
        <f>""</f>
        <v/>
      </c>
      <c r="G1388" t="str">
        <f>"200.00"</f>
        <v>200.00</v>
      </c>
      <c r="H1388" t="str">
        <f>"CONSORZIO DI BONIFICA BACCHIGLIONE"</f>
        <v>CONSORZIO DI BONIFICA BACCHIGLIONE</v>
      </c>
      <c r="I1388" t="str">
        <f>"92223390284"</f>
        <v>92223390284</v>
      </c>
      <c r="J1388" t="str">
        <f>"23-AFFIDAMENTO DIRETTO"</f>
        <v>23-AFFIDAMENTO DIRETTO</v>
      </c>
      <c r="K1388" t="str">
        <f>"23/02/2021"</f>
        <v>23/02/2021</v>
      </c>
      <c r="L1388" t="str">
        <f>"27/12/2021"</f>
        <v>27/12/2021</v>
      </c>
      <c r="M1388" t="str">
        <f>""</f>
        <v/>
      </c>
      <c r="N1388" t="str">
        <f>"Trincanato servizi Via A Valerio 51 Piove di Sacco PD 35028 | TRINCANATO SERVIZI"</f>
        <v>Trincanato servizi Via A Valerio 51 Piove di Sacco PD 35028 | TRINCANATO SERVIZI</v>
      </c>
      <c r="O1388" t="str">
        <f>"TRINCANATO SERVIZI"</f>
        <v>TRINCANATO SERVIZI</v>
      </c>
      <c r="P1388" t="s">
        <v>157</v>
      </c>
      <c r="Q1388" t="str">
        <f>""</f>
        <v/>
      </c>
      <c r="R1388" t="str">
        <f>""</f>
        <v/>
      </c>
      <c r="S1388" t="str">
        <f>""</f>
        <v/>
      </c>
      <c r="T1388" t="str">
        <f>"https://portaletrasparenza.consorziobacchiglione.it/dettagli/attodigara/3507/maggior-importo-per-la-pulizia-di-sanificazioni-prima-e-dopo-la-disinfezione-da-eseguirsi-presso-uffici-sede-consorziale.html"</f>
        <v>https://portaletrasparenza.consorziobacchiglione.it/dettagli/attodigara/3507/maggior-importo-per-la-pulizia-di-sanificazioni-prima-e-dopo-la-disinfezione-da-eseguirsi-presso-uffici-sede-consorziale.html</v>
      </c>
      <c r="U1388" t="str">
        <f>"https://portaletrasparenza.consorziobacchiglione.it/download/attodigara/3507/62a20988309cb.PDF"</f>
        <v>https://portaletrasparenza.consorziobacchiglione.it/download/attodigara/3507/62a20988309cb.PDF</v>
      </c>
      <c r="V138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89" spans="1:22" x14ac:dyDescent="0.3">
      <c r="A1389" t="str">
        <f>"Affidamento"</f>
        <v>Affidamento</v>
      </c>
      <c r="B1389" t="str">
        <f>"Riparazione Plotter HP presso sede Consorziale"</f>
        <v>Riparazione Plotter HP presso sede Consorziale</v>
      </c>
      <c r="C1389" t="str">
        <f>"Z3530C09B0"</f>
        <v>Z3530C09B0</v>
      </c>
      <c r="D1389" t="str">
        <f>"23/02/2021"</f>
        <v>23/02/2021</v>
      </c>
      <c r="E1389" t="str">
        <f>""</f>
        <v/>
      </c>
      <c r="F1389" t="str">
        <f>""</f>
        <v/>
      </c>
      <c r="G1389" t="str">
        <f>"245.79"</f>
        <v>245.79</v>
      </c>
      <c r="H1389" t="str">
        <f>"Consorzio di bonifica Bacchiglione"</f>
        <v>Consorzio di bonifica Bacchiglione</v>
      </c>
      <c r="I1389" t="str">
        <f>"92223390284"</f>
        <v>92223390284</v>
      </c>
      <c r="J1389" t="str">
        <f>"23-AFFIDAMENTO DIRETTO"</f>
        <v>23-AFFIDAMENTO DIRETTO</v>
      </c>
      <c r="K1389" t="str">
        <f>"23/02/2021"</f>
        <v>23/02/2021</v>
      </c>
      <c r="L1389" t="str">
        <f>"03/03/2021"</f>
        <v>03/03/2021</v>
      </c>
      <c r="M1389" t="str">
        <f>""</f>
        <v/>
      </c>
      <c r="N1389" t="str">
        <f>"BM Office E Service di Mattioli Maurizio Via Vicenza 8 30010 Cona VE"</f>
        <v>BM Office E Service di Mattioli Maurizio Via Vicenza 8 30010 Cona VE</v>
      </c>
      <c r="O1389" t="str">
        <f>"BM Office E Service di Mattioli Maurizio Via Vicenza 8 30010 Cona VE"</f>
        <v>BM Office E Service di Mattioli Maurizio Via Vicenza 8 30010 Cona VE</v>
      </c>
      <c r="P1389" t="str">
        <f>"Z3530C09B0: [245.79€ ]"</f>
        <v>Z3530C09B0: [245.79€ ]</v>
      </c>
      <c r="Q1389" t="str">
        <f>""</f>
        <v/>
      </c>
      <c r="R1389" t="str">
        <f>""</f>
        <v/>
      </c>
      <c r="S1389" t="str">
        <f>""</f>
        <v/>
      </c>
      <c r="T1389" t="str">
        <f>"https://portaletrasparenza.consorziobacchiglione.it/dettagli/attodigara/6654/riparazione-plotter-hp-presso-sede-consorziale.html"</f>
        <v>https://portaletrasparenza.consorziobacchiglione.it/dettagli/attodigara/6654/riparazione-plotter-hp-presso-sede-consorziale.html</v>
      </c>
      <c r="U1389" t="str">
        <f>"https://portaletrasparenza.consorziobacchiglione.it/download/attodigara/6654/63ac4560f3c52.PDF"</f>
        <v>https://portaletrasparenza.consorziobacchiglione.it/download/attodigara/6654/63ac4560f3c52.PDF</v>
      </c>
      <c r="V13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90" spans="1:22" x14ac:dyDescent="0.3">
      <c r="A1390" t="str">
        <f>"Affidamento"</f>
        <v>Affidamento</v>
      </c>
      <c r="B1390" t="str">
        <f>"Lavori di demolizione Superfetazione presente presso Impianto Idrovoro Vaso Cavaizze con conferimento a discarica del materiale derivante"</f>
        <v>Lavori di demolizione Superfetazione presente presso Impianto Idrovoro Vaso Cavaizze con conferimento a discarica del materiale derivante</v>
      </c>
      <c r="C1390" t="str">
        <f>"Z5F30BF798"</f>
        <v>Z5F30BF798</v>
      </c>
      <c r="D1390" t="str">
        <f>"23/02/2021"</f>
        <v>23/02/2021</v>
      </c>
      <c r="E1390" t="str">
        <f>""</f>
        <v/>
      </c>
      <c r="F1390" t="str">
        <f>""</f>
        <v/>
      </c>
      <c r="G1390" t="str">
        <f>"2000.00"</f>
        <v>2000.00</v>
      </c>
      <c r="H1390" t="str">
        <f>"Consorzio di bonifica Bacchiglione"</f>
        <v>Consorzio di bonifica Bacchiglione</v>
      </c>
      <c r="I1390" t="str">
        <f>"92223390284"</f>
        <v>92223390284</v>
      </c>
      <c r="J1390" t="str">
        <f>"23-AFFIDAMENTO DIRETTO"</f>
        <v>23-AFFIDAMENTO DIRETTO</v>
      </c>
      <c r="K1390" t="str">
        <f>"23/02/2021"</f>
        <v>23/02/2021</v>
      </c>
      <c r="L1390" t="str">
        <f>"20/03/2021"</f>
        <v>20/03/2021</v>
      </c>
      <c r="M1390" t="str">
        <f>""</f>
        <v/>
      </c>
      <c r="N1390" t="str">
        <f>"F.lli Gardin S.R.L. Via Caovilla 16 Saonara PD"</f>
        <v>F.lli Gardin S.R.L. Via Caovilla 16 Saonara PD</v>
      </c>
      <c r="O1390" t="str">
        <f>"F.lli Gardin S.R.L. Via Caovilla 16 Saonara PD"</f>
        <v>F.lli Gardin S.R.L. Via Caovilla 16 Saonara PD</v>
      </c>
      <c r="P1390" t="str">
        <f>"Z5F30BF798: [2000.00€ ]"</f>
        <v>Z5F30BF798: [2000.00€ ]</v>
      </c>
      <c r="Q1390" t="str">
        <f>""</f>
        <v/>
      </c>
      <c r="R1390" t="str">
        <f>""</f>
        <v/>
      </c>
      <c r="S1390" t="str">
        <f>""</f>
        <v/>
      </c>
      <c r="T1390" t="str">
        <f>"https://portaletrasparenza.consorziobacchiglione.it/dettagli/attodigara/6652/lavori-di-demolizione-superfetazione-presente-presso-impianto-idrovoro-vaso-cavaizze-con-conferimento-a-discarica-del-materiale-derivante.html"</f>
        <v>https://portaletrasparenza.consorziobacchiglione.it/dettagli/attodigara/6652/lavori-di-demolizione-superfetazione-presente-presso-impianto-idrovoro-vaso-cavaizze-con-conferimento-a-discarica-del-materiale-derivante.html</v>
      </c>
      <c r="U1390" t="str">
        <f>"https://portaletrasparenza.consorziobacchiglione.it/download/attodigara/6652/63ac4560bb45d.PDF"</f>
        <v>https://portaletrasparenza.consorziobacchiglione.it/download/attodigara/6652/63ac4560bb45d.PDF</v>
      </c>
      <c r="V13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91" spans="1:22" x14ac:dyDescent="0.3">
      <c r="A1391" t="str">
        <f>"Affidamento"</f>
        <v>Affidamento</v>
      </c>
      <c r="B1391" t="str">
        <f>"Fornitura di arredamento per uffici S.Margherita."</f>
        <v>Fornitura di arredamento per uffici S.Margherita.</v>
      </c>
      <c r="C1391" t="str">
        <f>"ZF0191FA0E"</f>
        <v>ZF0191FA0E</v>
      </c>
      <c r="D1391" t="str">
        <f>"04/11/2021"</f>
        <v>04/11/2021</v>
      </c>
      <c r="E1391" t="str">
        <f>""</f>
        <v/>
      </c>
      <c r="F1391" t="str">
        <f>""</f>
        <v/>
      </c>
      <c r="G1391" t="str">
        <f>"750.00"</f>
        <v>750.00</v>
      </c>
      <c r="H1391" t="str">
        <f>"Consorzio di bonifica Bacchiglione"</f>
        <v>Consorzio di bonifica Bacchiglione</v>
      </c>
      <c r="I1391" t="str">
        <f>"92223390284"</f>
        <v>92223390284</v>
      </c>
      <c r="J1391" t="str">
        <f>"23-AFFIDAMENTO DIRETTO"</f>
        <v>23-AFFIDAMENTO DIRETTO</v>
      </c>
      <c r="K1391" t="str">
        <f>"23/03/2021"</f>
        <v>23/03/2021</v>
      </c>
      <c r="L1391" t="str">
        <f>"18/05/2021"</f>
        <v>18/05/2021</v>
      </c>
      <c r="M1391" t="str">
        <f>""</f>
        <v/>
      </c>
      <c r="N1391" t="str">
        <f>"Antonello Finiture S.r.l. Via per Salvatronda 17A 31033 Castelfranco Veneto TV"</f>
        <v>Antonello Finiture S.r.l. Via per Salvatronda 17A 31033 Castelfranco Veneto TV</v>
      </c>
      <c r="O1391" t="str">
        <f>"Antonello Finiture S.r.l. Via per Salvatronda 17A 31033 Castelfranco Veneto TV"</f>
        <v>Antonello Finiture S.r.l. Via per Salvatronda 17A 31033 Castelfranco Veneto TV</v>
      </c>
      <c r="P1391" t="str">
        <f>"ZF0191FA0E: [750.00€ ]"</f>
        <v>ZF0191FA0E: [750.00€ ]</v>
      </c>
      <c r="Q1391" t="str">
        <f>""</f>
        <v/>
      </c>
      <c r="R1391" t="str">
        <f>""</f>
        <v/>
      </c>
      <c r="S1391" t="str">
        <f>""</f>
        <v/>
      </c>
      <c r="T1391" t="str">
        <f>"https://portaletrasparenza.consorziobacchiglione.it/dettagli/attodigara/254/fornitura-di-arredamento-per-uffici-s-margherita.html"</f>
        <v>https://portaletrasparenza.consorziobacchiglione.it/dettagli/attodigara/254/fornitura-di-arredamento-per-uffici-s-margherita.html</v>
      </c>
      <c r="U1391" t="str">
        <f>""</f>
        <v/>
      </c>
      <c r="V13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92" spans="1:22" x14ac:dyDescent="0.3">
      <c r="A1392" t="str">
        <f>"Affidamento"</f>
        <v>Affidamento</v>
      </c>
      <c r="B1392" t="str">
        <f>"FORNITURA DI TONER PER STAMPANTE UFFICIO RAGIONERIA"</f>
        <v>FORNITURA DI TONER PER STAMPANTE UFFICIO RAGIONERIA</v>
      </c>
      <c r="C1392" t="str">
        <f>"Z6019215EA"</f>
        <v>Z6019215EA</v>
      </c>
      <c r="D1392" t="str">
        <f>"04/11/2021"</f>
        <v>04/11/2021</v>
      </c>
      <c r="E1392" t="str">
        <f>""</f>
        <v/>
      </c>
      <c r="F1392" t="str">
        <f>""</f>
        <v/>
      </c>
      <c r="G1392" t="str">
        <f>"456.00"</f>
        <v>456.00</v>
      </c>
      <c r="H1392" t="str">
        <f>"Consorzio di bonifica Bacchiglione"</f>
        <v>Consorzio di bonifica Bacchiglione</v>
      </c>
      <c r="I1392" t="str">
        <f>"92223390284"</f>
        <v>92223390284</v>
      </c>
      <c r="J1392" t="str">
        <f>"23-AFFIDAMENTO DIRETTO"</f>
        <v>23-AFFIDAMENTO DIRETTO</v>
      </c>
      <c r="K1392" t="str">
        <f>"23/03/2021"</f>
        <v>23/03/2021</v>
      </c>
      <c r="L1392" t="str">
        <f>"05/07/2021"</f>
        <v>05/07/2021</v>
      </c>
      <c r="M1392" t="str">
        <f>""</f>
        <v/>
      </c>
      <c r="N1392" t="str">
        <f>"TPH ELETTRONICA S.A.S."</f>
        <v>TPH ELETTRONICA S.A.S.</v>
      </c>
      <c r="O1392" t="str">
        <f>"TPH ELETTRONICA S.A.S."</f>
        <v>TPH ELETTRONICA S.A.S.</v>
      </c>
      <c r="P1392" t="str">
        <f>"Z6019215EA: [456.00€ ]"</f>
        <v>Z6019215EA: [456.00€ ]</v>
      </c>
      <c r="Q1392" t="str">
        <f>""</f>
        <v/>
      </c>
      <c r="R1392" t="str">
        <f>""</f>
        <v/>
      </c>
      <c r="S1392" t="str">
        <f>""</f>
        <v/>
      </c>
      <c r="T1392" t="str">
        <f>"https://portaletrasparenza.consorziobacchiglione.it/dettagli/attodigara/253/fornitura-di-toner-per-stampante-ufficio-ragioneria.html"</f>
        <v>https://portaletrasparenza.consorziobacchiglione.it/dettagli/attodigara/253/fornitura-di-toner-per-stampante-ufficio-ragioneria.html</v>
      </c>
      <c r="U1392" t="str">
        <f>""</f>
        <v/>
      </c>
      <c r="V139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93" spans="1:22" x14ac:dyDescent="0.3">
      <c r="A1393" t="str">
        <f>"Affidamento"</f>
        <v>Affidamento</v>
      </c>
      <c r="B1393" t="str">
        <f>"FORNITURA PERSONAL COMPUTER SERVIZIO POTOCOLLO."</f>
        <v>FORNITURA PERSONAL COMPUTER SERVIZIO POTOCOLLO.</v>
      </c>
      <c r="C1393" t="str">
        <f>"ZBA19213B3"</f>
        <v>ZBA19213B3</v>
      </c>
      <c r="D1393" t="str">
        <f>"04/11/2021"</f>
        <v>04/11/2021</v>
      </c>
      <c r="E1393" t="str">
        <f>""</f>
        <v/>
      </c>
      <c r="F1393" t="str">
        <f>""</f>
        <v/>
      </c>
      <c r="G1393" t="str">
        <f>"460.00"</f>
        <v>460.00</v>
      </c>
      <c r="H1393" t="str">
        <f>"Consorzio di bonifica Bacchiglione"</f>
        <v>Consorzio di bonifica Bacchiglione</v>
      </c>
      <c r="I1393" t="str">
        <f>"92223390284"</f>
        <v>92223390284</v>
      </c>
      <c r="J1393" t="str">
        <f>"23-AFFIDAMENTO DIRETTO"</f>
        <v>23-AFFIDAMENTO DIRETTO</v>
      </c>
      <c r="K1393" t="str">
        <f>"23/03/2021"</f>
        <v>23/03/2021</v>
      </c>
      <c r="L1393" t="str">
        <f>"05/07/2021"</f>
        <v>05/07/2021</v>
      </c>
      <c r="M1393" t="str">
        <f>""</f>
        <v/>
      </c>
      <c r="N1393" t="str">
        <f>"TPH ELETTRONICA S.A.S."</f>
        <v>TPH ELETTRONICA S.A.S.</v>
      </c>
      <c r="O1393" t="str">
        <f>"TPH ELETTRONICA S.A.S."</f>
        <v>TPH ELETTRONICA S.A.S.</v>
      </c>
      <c r="P1393" t="str">
        <f>"ZBA19213B3: [460.00€ ]"</f>
        <v>ZBA19213B3: [460.00€ ]</v>
      </c>
      <c r="Q1393" t="str">
        <f>""</f>
        <v/>
      </c>
      <c r="R1393" t="str">
        <f>""</f>
        <v/>
      </c>
      <c r="S1393" t="str">
        <f>""</f>
        <v/>
      </c>
      <c r="T1393" t="str">
        <f>"https://portaletrasparenza.consorziobacchiglione.it/dettagli/attodigara/252/fornitura-personal-computer-servizio-potocollo.html"</f>
        <v>https://portaletrasparenza.consorziobacchiglione.it/dettagli/attodigara/252/fornitura-personal-computer-servizio-potocollo.html</v>
      </c>
      <c r="U1393" t="str">
        <f>""</f>
        <v/>
      </c>
      <c r="V13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94" spans="1:22" x14ac:dyDescent="0.3">
      <c r="A1394" t="str">
        <f>"Affidamento"</f>
        <v>Affidamento</v>
      </c>
      <c r="B1394" t="str">
        <f>"Revisione più controllo generale mezzo targato: CB933XY"</f>
        <v>Revisione più controllo generale mezzo targato: CB933XY</v>
      </c>
      <c r="C1394" t="str">
        <f>"Z843119B03"</f>
        <v>Z843119B03</v>
      </c>
      <c r="D1394" t="str">
        <f>"23/03/2021"</f>
        <v>23/03/2021</v>
      </c>
      <c r="E1394" t="str">
        <f>""</f>
        <v/>
      </c>
      <c r="F1394" t="str">
        <f>""</f>
        <v/>
      </c>
      <c r="G1394" t="str">
        <f>"109.82"</f>
        <v>109.82</v>
      </c>
      <c r="H1394" t="str">
        <f>"Consorzio di bonifica Bacchiglione"</f>
        <v>Consorzio di bonifica Bacchiglione</v>
      </c>
      <c r="I1394" t="str">
        <f>"92223390284"</f>
        <v>92223390284</v>
      </c>
      <c r="J1394" t="str">
        <f>"23-AFFIDAMENTO DIRETTO"</f>
        <v>23-AFFIDAMENTO DIRETTO</v>
      </c>
      <c r="K1394" t="str">
        <f>"23/03/2021"</f>
        <v>23/03/2021</v>
      </c>
      <c r="L1394" t="str">
        <f>"12/04/2021"</f>
        <v>12/04/2021</v>
      </c>
      <c r="M1394" t="str">
        <f>""</f>
        <v/>
      </c>
      <c r="N1394" t="str">
        <f>"Elettrodiesel Peruzzo s.r.l. Via Tevere 30 35135 Padova"</f>
        <v>Elettrodiesel Peruzzo s.r.l. Via Tevere 30 35135 Padova</v>
      </c>
      <c r="O1394" t="str">
        <f>"Elettrodiesel Peruzzo s.r.l. Via Tevere 30 35135 Padova"</f>
        <v>Elettrodiesel Peruzzo s.r.l. Via Tevere 30 35135 Padova</v>
      </c>
      <c r="P1394" t="s">
        <v>361</v>
      </c>
      <c r="Q1394" t="str">
        <f>""</f>
        <v/>
      </c>
      <c r="R1394" t="str">
        <f>""</f>
        <v/>
      </c>
      <c r="S1394" t="str">
        <f>""</f>
        <v/>
      </c>
      <c r="T1394" t="str">
        <f>"https://portaletrasparenza.consorziobacchiglione.it/dettagli/attodigara/6724/revisione-piu-controllo-generale-mezzo-targato-cb933xy.html"</f>
        <v>https://portaletrasparenza.consorziobacchiglione.it/dettagli/attodigara/6724/revisione-piu-controllo-generale-mezzo-targato-cb933xy.html</v>
      </c>
      <c r="U1394" t="str">
        <f>"https://portaletrasparenza.consorziobacchiglione.it/download/attodigara/6724/63ac45701908e.PDF"</f>
        <v>https://portaletrasparenza.consorziobacchiglione.it/download/attodigara/6724/63ac45701908e.PDF</v>
      </c>
      <c r="V139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95" spans="1:22" x14ac:dyDescent="0.3">
      <c r="A1395" t="str">
        <f>"Affidamento"</f>
        <v>Affidamento</v>
      </c>
      <c r="B1395" t="str">
        <f>"Fornitura di n.1 Transpallet Pramac modello V2500A per C.O.S.Margherita"</f>
        <v>Fornitura di n.1 Transpallet Pramac modello V2500A per C.O.S.Margherita</v>
      </c>
      <c r="C1395" t="str">
        <f>"Z83311A391"</f>
        <v>Z83311A391</v>
      </c>
      <c r="D1395" t="str">
        <f>"23/03/2021"</f>
        <v>23/03/2021</v>
      </c>
      <c r="E1395" t="str">
        <f>""</f>
        <v/>
      </c>
      <c r="F1395" t="str">
        <f>""</f>
        <v/>
      </c>
      <c r="G1395" t="str">
        <f>"330.00"</f>
        <v>330.00</v>
      </c>
      <c r="H1395" t="str">
        <f>"Consorzio di bonifica Bacchiglione"</f>
        <v>Consorzio di bonifica Bacchiglione</v>
      </c>
      <c r="I1395" t="str">
        <f>"92223390284"</f>
        <v>92223390284</v>
      </c>
      <c r="J1395" t="str">
        <f>"23-AFFIDAMENTO DIRETTO"</f>
        <v>23-AFFIDAMENTO DIRETTO</v>
      </c>
      <c r="K1395" t="str">
        <f>"23/03/2021"</f>
        <v>23/03/2021</v>
      </c>
      <c r="L1395" t="str">
        <f>"31/03/2021"</f>
        <v>31/03/2021</v>
      </c>
      <c r="M1395" t="str">
        <f>""</f>
        <v/>
      </c>
      <c r="N1395" t="str">
        <f>"Arcolin Edilizia S.a.s di Arcolin Andrea , Baretta Maria E C. Via Valletta 4 a-b - 30010 Cantarana di Cona VE"</f>
        <v>Arcolin Edilizia S.a.s di Arcolin Andrea , Baretta Maria E C. Via Valletta 4 a-b - 30010 Cantarana di Cona VE</v>
      </c>
      <c r="O1395" t="str">
        <f>"Arcolin Edilizia S.a.s di Arcolin Andrea , Baretta Maria E C. Via Valletta 4 a-b - 30010 Cantarana di Cona VE"</f>
        <v>Arcolin Edilizia S.a.s di Arcolin Andrea , Baretta Maria E C. Via Valletta 4 a-b - 30010 Cantarana di Cona VE</v>
      </c>
      <c r="P1395" t="str">
        <f>"Z83311A391: [330.00€ ]"</f>
        <v>Z83311A391: [330.00€ ]</v>
      </c>
      <c r="Q1395" t="str">
        <f>""</f>
        <v/>
      </c>
      <c r="R1395" t="str">
        <f>""</f>
        <v/>
      </c>
      <c r="S1395" t="str">
        <f>""</f>
        <v/>
      </c>
      <c r="T1395" t="str">
        <f>"https://portaletrasparenza.consorziobacchiglione.it/dettagli/attodigara/6725/fornitura-di-n-1-transpallet-pramac-modello-v2500a-per-c-o-s-margherita.html"</f>
        <v>https://portaletrasparenza.consorziobacchiglione.it/dettagli/attodigara/6725/fornitura-di-n-1-transpallet-pramac-modello-v2500a-per-c-o-s-margherita.html</v>
      </c>
      <c r="U1395" t="str">
        <f>"https://portaletrasparenza.consorziobacchiglione.it/download/attodigara/6725/63ac45705168c.PDF"</f>
        <v>https://portaletrasparenza.consorziobacchiglione.it/download/attodigara/6725/63ac45705168c.PDF</v>
      </c>
      <c r="V139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396" spans="1:22" x14ac:dyDescent="0.3">
      <c r="A1396" t="str">
        <f>"Affidamento"</f>
        <v>Affidamento</v>
      </c>
      <c r="B1396" t="str">
        <f>"Fornitura materiale elettrico per vari Impianti presso Bacino Sesta Presa"</f>
        <v>Fornitura materiale elettrico per vari Impianti presso Bacino Sesta Presa</v>
      </c>
      <c r="C1396" t="str">
        <f>"ZD6311D273"</f>
        <v>ZD6311D273</v>
      </c>
      <c r="D1396" t="str">
        <f>"25/03/2021"</f>
        <v>25/03/2021</v>
      </c>
      <c r="E1396" t="str">
        <f>""</f>
        <v/>
      </c>
      <c r="F1396" t="str">
        <f>""</f>
        <v/>
      </c>
      <c r="G1396" t="str">
        <f>"997.99"</f>
        <v>997.99</v>
      </c>
      <c r="H1396" t="str">
        <f>"Consorzio di bonifica Bacchiglione"</f>
        <v>Consorzio di bonifica Bacchiglione</v>
      </c>
      <c r="I1396" t="str">
        <f>"92223390284"</f>
        <v>92223390284</v>
      </c>
      <c r="J1396" t="str">
        <f>"23-AFFIDAMENTO DIRETTO"</f>
        <v>23-AFFIDAMENTO DIRETTO</v>
      </c>
      <c r="K1396" t="str">
        <f>"23/03/2021"</f>
        <v>23/03/2021</v>
      </c>
      <c r="L1396" t="str">
        <f>"31/12/2021"</f>
        <v>31/12/2021</v>
      </c>
      <c r="M1396" t="str">
        <f>""</f>
        <v/>
      </c>
      <c r="N1396" t="str">
        <f>"Elettroveneta S.p.A. Viale della Navigazione Interna, 48 - 35129 Padova (PD)"</f>
        <v>Elettroveneta S.p.A. Viale della Navigazione Interna, 48 - 35129 Padova (PD)</v>
      </c>
      <c r="O1396" t="str">
        <f>"Elettroveneta S.p.A. Viale della Navigazione Interna, 48 - 35129 Padova (PD)"</f>
        <v>Elettroveneta S.p.A. Viale della Navigazione Interna, 48 - 35129 Padova (PD)</v>
      </c>
      <c r="P1396" t="str">
        <f>"ZD6311D273: [987.80€ ]"</f>
        <v>ZD6311D273: [987.80€ ]</v>
      </c>
      <c r="Q1396" t="str">
        <f>""</f>
        <v/>
      </c>
      <c r="R1396" t="str">
        <f>""</f>
        <v/>
      </c>
      <c r="S1396" t="str">
        <f>""</f>
        <v/>
      </c>
      <c r="T1396" t="str">
        <f>"https://portaletrasparenza.consorziobacchiglione.it/dettagli/attodigara/6727/fornitura-materiale-elettrico-per-vari-impianti-presso-bacino-sesta-presa.html"</f>
        <v>https://portaletrasparenza.consorziobacchiglione.it/dettagli/attodigara/6727/fornitura-materiale-elettrico-per-vari-impianti-presso-bacino-sesta-presa.html</v>
      </c>
      <c r="U1396" t="str">
        <f>"https://portaletrasparenza.consorziobacchiglione.it/download/attodigara/6727/63ac4570cbbaf.PDF"</f>
        <v>https://portaletrasparenza.consorziobacchiglione.it/download/attodigara/6727/63ac4570cbbaf.PDF</v>
      </c>
      <c r="V1396">
        <f>(SUBSTITUTE(Tabella1[[#This Row],[Importo di aggiudicazione]],".",","))-(SUBSTITUTE(  SUBSTITUTE(          SUBSTITUTE(Tabella1[[#This Row],[Dettaglio somme liquidate]],Tabella1[[#This Row],[CIG]]&amp;": [",""),"€ ]",""),".",","))</f>
        <v>10.190000000000055</v>
      </c>
    </row>
    <row r="1397" spans="1:22" x14ac:dyDescent="0.3">
      <c r="A1397" t="str">
        <f>"Affidamento"</f>
        <v>Affidamento</v>
      </c>
      <c r="B1397" t="str">
        <f>"Corso di formazione e di aggiornamento in materia di sicurezza secondo Accordo Stato Regioni del 21/12/2011 per personale Consorziale."</f>
        <v>Corso di formazione e di aggiornamento in materia di sicurezza secondo Accordo Stato Regioni del 21/12/2011 per personale Consorziale.</v>
      </c>
      <c r="C1397" t="str">
        <f>"Z9C311C5C2"</f>
        <v>Z9C311C5C2</v>
      </c>
      <c r="D1397" t="str">
        <f>"25/03/2021"</f>
        <v>25/03/2021</v>
      </c>
      <c r="E1397" t="str">
        <f>""</f>
        <v/>
      </c>
      <c r="F1397" t="str">
        <f>""</f>
        <v/>
      </c>
      <c r="G1397" t="str">
        <f>"1000.00"</f>
        <v>1000.00</v>
      </c>
      <c r="H1397" t="str">
        <f>"Consorzio di bonifica Bacchiglione"</f>
        <v>Consorzio di bonifica Bacchiglione</v>
      </c>
      <c r="I1397" t="str">
        <f>"92223390284"</f>
        <v>92223390284</v>
      </c>
      <c r="J1397" t="str">
        <f>"23-AFFIDAMENTO DIRETTO"</f>
        <v>23-AFFIDAMENTO DIRETTO</v>
      </c>
      <c r="K1397" t="str">
        <f>"23/03/2021"</f>
        <v>23/03/2021</v>
      </c>
      <c r="L1397" t="str">
        <f>"31/12/2021"</f>
        <v>31/12/2021</v>
      </c>
      <c r="M1397" t="str">
        <f>""</f>
        <v/>
      </c>
      <c r="N1397" t="str">
        <f>"Tolomio ing. Riccardo Via P. Liberi, 22 30174 Venezia (VE)"</f>
        <v>Tolomio ing. Riccardo Via P. Liberi, 22 30174 Venezia (VE)</v>
      </c>
      <c r="O1397" t="str">
        <f>"Tolomio ing. Riccardo Via P. Liberi, 22 30174 Venezia (VE)"</f>
        <v>Tolomio ing. Riccardo Via P. Liberi, 22 30174 Venezia (VE)</v>
      </c>
      <c r="P1397" t="str">
        <f>"Z9C311C5C2: [746.72€ ]"</f>
        <v>Z9C311C5C2: [746.72€ ]</v>
      </c>
      <c r="Q1397" t="str">
        <f>""</f>
        <v/>
      </c>
      <c r="R1397" t="str">
        <f>""</f>
        <v/>
      </c>
      <c r="S1397" t="str">
        <f>""</f>
        <v/>
      </c>
      <c r="T1397" t="str">
        <f>"https://portaletrasparenza.consorziobacchiglione.it/dettagli/attodigara/6726/corso-di-formazione-e-di-aggiornamento-in-materia-di-sicurezza-secondo-accordo-stato-regioni-del-21-12-2011-per-personale-consorziale.html"</f>
        <v>https://portaletrasparenza.consorziobacchiglione.it/dettagli/attodigara/6726/corso-di-formazione-e-di-aggiornamento-in-materia-di-sicurezza-secondo-accordo-stato-regioni-del-21-12-2011-per-personale-consorziale.html</v>
      </c>
      <c r="U1397" t="str">
        <f>"https://portaletrasparenza.consorziobacchiglione.it/download/attodigara/6726/63ac4570934ca.PDF"</f>
        <v>https://portaletrasparenza.consorziobacchiglione.it/download/attodigara/6726/63ac4570934ca.PDF</v>
      </c>
      <c r="V1397">
        <f>(SUBSTITUTE(Tabella1[[#This Row],[Importo di aggiudicazione]],".",","))-(SUBSTITUTE(  SUBSTITUTE(          SUBSTITUTE(Tabella1[[#This Row],[Dettaglio somme liquidate]],Tabella1[[#This Row],[CIG]]&amp;": [",""),"€ ]",""),".",","))</f>
        <v>253.27999999999997</v>
      </c>
    </row>
    <row r="1398" spans="1:22" x14ac:dyDescent="0.3">
      <c r="A1398" t="str">
        <f>"Affidamento"</f>
        <v>Affidamento</v>
      </c>
      <c r="B1398" t="str">
        <f>"Fornitura cartelli stradali per bacino Montà Portello e Colli Euganei con appositi cavalletti a 4 piedi"</f>
        <v>Fornitura cartelli stradali per bacino Montà Portello e Colli Euganei con appositi cavalletti a 4 piedi</v>
      </c>
      <c r="C1398" t="str">
        <f>"ZD8311D8DF"</f>
        <v>ZD8311D8DF</v>
      </c>
      <c r="D1398" t="str">
        <f>"25/03/2021"</f>
        <v>25/03/2021</v>
      </c>
      <c r="E1398" t="str">
        <f>""</f>
        <v/>
      </c>
      <c r="F1398" t="str">
        <f>""</f>
        <v/>
      </c>
      <c r="G1398" t="str">
        <f>"5506.96"</f>
        <v>5506.96</v>
      </c>
      <c r="H1398" t="str">
        <f>"Consorzio di bonifica Bacchiglione"</f>
        <v>Consorzio di bonifica Bacchiglione</v>
      </c>
      <c r="I1398" t="str">
        <f>"92223390284"</f>
        <v>92223390284</v>
      </c>
      <c r="J1398" t="str">
        <f>"23-AFFIDAMENTO DIRETTO"</f>
        <v>23-AFFIDAMENTO DIRETTO</v>
      </c>
      <c r="K1398" t="str">
        <f>"23/03/2021"</f>
        <v>23/03/2021</v>
      </c>
      <c r="L1398" t="str">
        <f>"30/04/2021"</f>
        <v>30/04/2021</v>
      </c>
      <c r="M1398" t="str">
        <f>""</f>
        <v/>
      </c>
      <c r="N1398" t="str">
        <f>"Fip Articoli Tecnici S.r.l. Viale Regione Veneto 9 35127 Padova"</f>
        <v>Fip Articoli Tecnici S.r.l. Viale Regione Veneto 9 35127 Padova</v>
      </c>
      <c r="O1398" t="str">
        <f>"Fip Articoli Tecnici S.r.l. Viale Regione Veneto 9 35127 Padova"</f>
        <v>Fip Articoli Tecnici S.r.l. Viale Regione Veneto 9 35127 Padova</v>
      </c>
      <c r="P1398" t="str">
        <f>"ZD8311D8DF: [4739.60€ ]"</f>
        <v>ZD8311D8DF: [4739.60€ ]</v>
      </c>
      <c r="Q1398" t="str">
        <f>""</f>
        <v/>
      </c>
      <c r="R1398" t="str">
        <f>""</f>
        <v/>
      </c>
      <c r="S1398" t="str">
        <f>""</f>
        <v/>
      </c>
      <c r="T1398" t="str">
        <f>"https://portaletrasparenza.consorziobacchiglione.it/dettagli/attodigara/6728/fornitura-cartelli-stradali-per-bacino-monta-portello-e-colli-euganei-con-appositi-cavalletti-a-4-piedi.html"</f>
        <v>https://portaletrasparenza.consorziobacchiglione.it/dettagli/attodigara/6728/fornitura-cartelli-stradali-per-bacino-monta-portello-e-colli-euganei-con-appositi-cavalletti-a-4-piedi.html</v>
      </c>
      <c r="U1398" t="str">
        <f>"https://portaletrasparenza.consorziobacchiglione.it/download/attodigara/6728/63ac4571100fb.PDF"</f>
        <v>https://portaletrasparenza.consorziobacchiglione.it/download/attodigara/6728/63ac4571100fb.PDF</v>
      </c>
      <c r="V1398">
        <f>(SUBSTITUTE(Tabella1[[#This Row],[Importo di aggiudicazione]],".",","))-(SUBSTITUTE(  SUBSTITUTE(          SUBSTITUTE(Tabella1[[#This Row],[Dettaglio somme liquidate]],Tabella1[[#This Row],[CIG]]&amp;": [",""),"€ ]",""),".",","))</f>
        <v>767.35999999999967</v>
      </c>
    </row>
    <row r="1399" spans="1:22" x14ac:dyDescent="0.3">
      <c r="A1399" t="str">
        <f>"Affidamento"</f>
        <v>Affidamento</v>
      </c>
      <c r="B1399" t="str">
        <f>"Manutenzione e riparazione mezzo con targa: AJ205BM"</f>
        <v>Manutenzione e riparazione mezzo con targa: AJ205BM</v>
      </c>
      <c r="C1399" t="str">
        <f>"Z79317B6D6"</f>
        <v>Z79317B6D6</v>
      </c>
      <c r="D1399" t="str">
        <f>"26/04/2021"</f>
        <v>26/04/2021</v>
      </c>
      <c r="E1399" t="str">
        <f>""</f>
        <v/>
      </c>
      <c r="F1399" t="str">
        <f>""</f>
        <v/>
      </c>
      <c r="G1399" t="str">
        <f>"670.93"</f>
        <v>670.93</v>
      </c>
      <c r="H1399" t="str">
        <f>"Consorzio di bonifica Bacchiglione"</f>
        <v>Consorzio di bonifica Bacchiglione</v>
      </c>
      <c r="I1399" t="str">
        <f>"92223390284"</f>
        <v>92223390284</v>
      </c>
      <c r="J1399" t="str">
        <f>"23-AFFIDAMENTO DIRETTO"</f>
        <v>23-AFFIDAMENTO DIRETTO</v>
      </c>
      <c r="K1399" t="str">
        <f>"23/04/2021"</f>
        <v>23/04/2021</v>
      </c>
      <c r="L1399" t="str">
        <f>"30/04/2021"</f>
        <v>30/04/2021</v>
      </c>
      <c r="M1399" t="str">
        <f>""</f>
        <v/>
      </c>
      <c r="N1399" t="str">
        <f>"Negrisolo Officina Meccanica s.a.s. V.le delle Industrie II° strada 13 35025 Cagnola di Cartura PD"</f>
        <v>Negrisolo Officina Meccanica s.a.s. V.le delle Industrie II° strada 13 35025 Cagnola di Cartura PD</v>
      </c>
      <c r="O1399" t="str">
        <f>"Negrisolo Officina Meccanica s.a.s. V.le delle Industrie II° strada 13 35025 Cagnola di Cartura PD"</f>
        <v>Negrisolo Officina Meccanica s.a.s. V.le delle Industrie II° strada 13 35025 Cagnola di Cartura PD</v>
      </c>
      <c r="P1399" t="s">
        <v>334</v>
      </c>
      <c r="Q1399" t="str">
        <f>""</f>
        <v/>
      </c>
      <c r="R1399" t="str">
        <f>""</f>
        <v/>
      </c>
      <c r="S1399" t="str">
        <f>""</f>
        <v/>
      </c>
      <c r="T1399" t="str">
        <f>"https://portaletrasparenza.consorziobacchiglione.it/dettagli/attodigara/6828/manutenzione-e-riparazione-mezzo-con-targa-aj205bm.html"</f>
        <v>https://portaletrasparenza.consorziobacchiglione.it/dettagli/attodigara/6828/manutenzione-e-riparazione-mezzo-con-targa-aj205bm.html</v>
      </c>
      <c r="U1399" t="str">
        <f>"https://portaletrasparenza.consorziobacchiglione.it/download/attodigara/6828/63ac458418a8c.PDF"</f>
        <v>https://portaletrasparenza.consorziobacchiglione.it/download/attodigara/6828/63ac458418a8c.PDF</v>
      </c>
      <c r="V13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00" spans="1:22" x14ac:dyDescent="0.3">
      <c r="A1400" t="str">
        <f>"Affidamento"</f>
        <v>Affidamento</v>
      </c>
      <c r="B1400" t="str">
        <f>"Pulizia Roggia Manzere nel tratto di Via Frignolo in comune di Codevigo"</f>
        <v>Pulizia Roggia Manzere nel tratto di Via Frignolo in comune di Codevigo</v>
      </c>
      <c r="C1400" t="str">
        <f>"Z4E317B317"</f>
        <v>Z4E317B317</v>
      </c>
      <c r="D1400" t="str">
        <f>"26/04/2021"</f>
        <v>26/04/2021</v>
      </c>
      <c r="E1400" t="str">
        <f>""</f>
        <v/>
      </c>
      <c r="F1400" t="str">
        <f>""</f>
        <v/>
      </c>
      <c r="G1400" t="str">
        <f>"23187.50"</f>
        <v>23187.50</v>
      </c>
      <c r="H1400" t="str">
        <f>"Consorzio di bonifica Bacchiglione"</f>
        <v>Consorzio di bonifica Bacchiglione</v>
      </c>
      <c r="I1400" t="str">
        <f>"92223390284"</f>
        <v>92223390284</v>
      </c>
      <c r="J1400" t="str">
        <f>"23-AFFIDAMENTO DIRETTO"</f>
        <v>23-AFFIDAMENTO DIRETTO</v>
      </c>
      <c r="K1400" t="str">
        <f>"23/04/2021"</f>
        <v>23/04/2021</v>
      </c>
      <c r="L1400" t="str">
        <f>"10/05/2021"</f>
        <v>10/05/2021</v>
      </c>
      <c r="M1400" t="str">
        <f>""</f>
        <v/>
      </c>
      <c r="N1400" t="str">
        <f>"Fasolato F.lli S.r.l. via Boligo 32-B - 30010 Bojon di Campolongo Maggiore (VE)"</f>
        <v>Fasolato F.lli S.r.l. via Boligo 32-B - 30010 Bojon di Campolongo Maggiore (VE)</v>
      </c>
      <c r="O1400" t="str">
        <f>"Fasolato F.lli S.r.l. via Boligo 32-B - 30010 Bojon di Campolongo Maggiore (VE)"</f>
        <v>Fasolato F.lli S.r.l. via Boligo 32-B - 30010 Bojon di Campolongo Maggiore (VE)</v>
      </c>
      <c r="P1400" t="str">
        <f>"Z4E317B317: [23187.50€ ]"</f>
        <v>Z4E317B317: [23187.50€ ]</v>
      </c>
      <c r="Q1400" t="str">
        <f>""</f>
        <v/>
      </c>
      <c r="R1400" t="str">
        <f>""</f>
        <v/>
      </c>
      <c r="S1400" t="str">
        <f>""</f>
        <v/>
      </c>
      <c r="T1400" t="str">
        <f>"https://portaletrasparenza.consorziobacchiglione.it/dettagli/attodigara/6826/pulizia-roggia-manzere-nel-tratto-di-via-frignolo-in-comune-di-codevigo.html"</f>
        <v>https://portaletrasparenza.consorziobacchiglione.it/dettagli/attodigara/6826/pulizia-roggia-manzere-nel-tratto-di-via-frignolo-in-comune-di-codevigo.html</v>
      </c>
      <c r="U1400" t="str">
        <f>"https://portaletrasparenza.consorziobacchiglione.it/download/attodigara/6826/63ac45839b7d0.PDF"</f>
        <v>https://portaletrasparenza.consorziobacchiglione.it/download/attodigara/6826/63ac45839b7d0.PDF</v>
      </c>
      <c r="V14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01" spans="1:22" x14ac:dyDescent="0.3">
      <c r="A1401" t="str">
        <f>"Affidamento"</f>
        <v>Affidamento</v>
      </c>
      <c r="B1401" t="str">
        <f>"Riparazione Attuatore presso Idrovora di Bovolenta"</f>
        <v>Riparazione Attuatore presso Idrovora di Bovolenta</v>
      </c>
      <c r="C1401" t="str">
        <f>"Z89317B544"</f>
        <v>Z89317B544</v>
      </c>
      <c r="D1401" t="str">
        <f>"26/04/2021"</f>
        <v>26/04/2021</v>
      </c>
      <c r="E1401" t="str">
        <f>""</f>
        <v/>
      </c>
      <c r="F1401" t="str">
        <f>""</f>
        <v/>
      </c>
      <c r="G1401" t="str">
        <f>"4547.50"</f>
        <v>4547.50</v>
      </c>
      <c r="H1401" t="str">
        <f>"Consorzio di bonifica Bacchiglione"</f>
        <v>Consorzio di bonifica Bacchiglione</v>
      </c>
      <c r="I1401" t="str">
        <f>"92223390284"</f>
        <v>92223390284</v>
      </c>
      <c r="J1401" t="str">
        <f>"23-AFFIDAMENTO DIRETTO"</f>
        <v>23-AFFIDAMENTO DIRETTO</v>
      </c>
      <c r="K1401" t="str">
        <f>"23/04/2021"</f>
        <v>23/04/2021</v>
      </c>
      <c r="L1401" t="str">
        <f>"31/05/2021"</f>
        <v>31/05/2021</v>
      </c>
      <c r="M1401" t="str">
        <f>""</f>
        <v/>
      </c>
      <c r="N1401" t="str">
        <f>"Biffi Italia S.r.l. Strada Biffi, 165 29017 Fiorenzuola D'Arda (PC)"</f>
        <v>Biffi Italia S.r.l. Strada Biffi, 165 29017 Fiorenzuola D'Arda (PC)</v>
      </c>
      <c r="O1401" t="str">
        <f>"Biffi Italia S.r.l. Strada Biffi, 165 29017 Fiorenzuola D'Arda (PC)"</f>
        <v>Biffi Italia S.r.l. Strada Biffi, 165 29017 Fiorenzuola D'Arda (PC)</v>
      </c>
      <c r="P1401" t="str">
        <f>"Z89317B544: [2618.10€ ]"</f>
        <v>Z89317B544: [2618.10€ ]</v>
      </c>
      <c r="Q1401" t="str">
        <f>""</f>
        <v/>
      </c>
      <c r="R1401" t="str">
        <f>""</f>
        <v/>
      </c>
      <c r="S1401" t="str">
        <f>""</f>
        <v/>
      </c>
      <c r="T1401" t="str">
        <f>"https://portaletrasparenza.consorziobacchiglione.it/dettagli/attodigara/6827/riparazione-attuatore-presso-idrovora-di-bovolenta.html"</f>
        <v>https://portaletrasparenza.consorziobacchiglione.it/dettagli/attodigara/6827/riparazione-attuatore-presso-idrovora-di-bovolenta.html</v>
      </c>
      <c r="U1401" t="str">
        <f>"https://portaletrasparenza.consorziobacchiglione.it/download/attodigara/6827/63ac4583d4280.PDF"</f>
        <v>https://portaletrasparenza.consorziobacchiglione.it/download/attodigara/6827/63ac4583d4280.PDF</v>
      </c>
      <c r="V1401">
        <f>(SUBSTITUTE(Tabella1[[#This Row],[Importo di aggiudicazione]],".",","))-(SUBSTITUTE(  SUBSTITUTE(          SUBSTITUTE(Tabella1[[#This Row],[Dettaglio somme liquidate]],Tabella1[[#This Row],[CIG]]&amp;": [",""),"€ ]",""),".",","))</f>
        <v>1929.4</v>
      </c>
    </row>
    <row r="1402" spans="1:22" x14ac:dyDescent="0.3">
      <c r="A1402" t="str">
        <f>"Affidamento"</f>
        <v>Affidamento</v>
      </c>
      <c r="B1402" t="str">
        <f>"Fornitura materiale D.P.I. per personale di campagna."</f>
        <v>Fornitura materiale D.P.I. per personale di campagna.</v>
      </c>
      <c r="C1402" t="str">
        <f>"ZEC19FA24F"</f>
        <v>ZEC19FA24F</v>
      </c>
      <c r="D1402" t="str">
        <f>"04/11/2021"</f>
        <v>04/11/2021</v>
      </c>
      <c r="E1402" t="str">
        <f>""</f>
        <v/>
      </c>
      <c r="F1402" t="str">
        <f>""</f>
        <v/>
      </c>
      <c r="G1402" t="str">
        <f>"120.00"</f>
        <v>120.00</v>
      </c>
      <c r="H1402" t="str">
        <f>"Consorzio di bonifica Bacchiglione"</f>
        <v>Consorzio di bonifica Bacchiglione</v>
      </c>
      <c r="I1402" t="str">
        <f>"92223390284"</f>
        <v>92223390284</v>
      </c>
      <c r="J1402" t="str">
        <f>"23-AFFIDAMENTO DIRETTO"</f>
        <v>23-AFFIDAMENTO DIRETTO</v>
      </c>
      <c r="K1402" t="str">
        <f>"23/05/2021"</f>
        <v>23/05/2021</v>
      </c>
      <c r="L1402" t="str">
        <f>"11/07/2021"</f>
        <v>11/07/2021</v>
      </c>
      <c r="M1402" t="str">
        <f>""</f>
        <v/>
      </c>
      <c r="N1402" t="str">
        <f>"SIR Safety System S.p.A. Zona Industriale S. Maria degli Angeli 06088 Assisi PG"</f>
        <v>SIR Safety System S.p.A. Zona Industriale S. Maria degli Angeli 06088 Assisi PG</v>
      </c>
      <c r="O1402" t="str">
        <f>"SIR Safety System S.p.A. Zona Industriale S. Maria degli Angeli 06088 Assisi PG"</f>
        <v>SIR Safety System S.p.A. Zona Industriale S. Maria degli Angeli 06088 Assisi PG</v>
      </c>
      <c r="P1402" t="str">
        <f>"ZEC19FA24F: [120.00€ ]"</f>
        <v>ZEC19FA24F: [120.00€ ]</v>
      </c>
      <c r="Q1402" t="str">
        <f>""</f>
        <v/>
      </c>
      <c r="R1402" t="str">
        <f>""</f>
        <v/>
      </c>
      <c r="S1402" t="str">
        <f>""</f>
        <v/>
      </c>
      <c r="T1402" t="str">
        <f>"https://portaletrasparenza.consorziobacchiglione.it/dettagli/attodigara/458/fornitura-materiale-d-p-i-per-personale-di-campagna.html"</f>
        <v>https://portaletrasparenza.consorziobacchiglione.it/dettagli/attodigara/458/fornitura-materiale-d-p-i-per-personale-di-campagna.html</v>
      </c>
      <c r="U1402" t="str">
        <f>""</f>
        <v/>
      </c>
      <c r="V14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03" spans="1:22" x14ac:dyDescent="0.3">
      <c r="A1403" t="str">
        <f>"Affidamento"</f>
        <v>Affidamento</v>
      </c>
      <c r="B1403" t="str">
        <f>"Modifica della balaustra dei due soppalchi all'interno del capannone C.O.S.Margherita."</f>
        <v>Modifica della balaustra dei due soppalchi all'interno del capannone C.O.S.Margherita.</v>
      </c>
      <c r="C1403" t="str">
        <f>"Z1E19FA0B6"</f>
        <v>Z1E19FA0B6</v>
      </c>
      <c r="D1403" t="str">
        <f>"04/11/2021"</f>
        <v>04/11/2021</v>
      </c>
      <c r="E1403" t="str">
        <f>""</f>
        <v/>
      </c>
      <c r="F1403" t="str">
        <f>""</f>
        <v/>
      </c>
      <c r="G1403" t="str">
        <f>"600.00"</f>
        <v>600.00</v>
      </c>
      <c r="H1403" t="str">
        <f>"Consorzio di bonifica Bacchiglione"</f>
        <v>Consorzio di bonifica Bacchiglione</v>
      </c>
      <c r="I1403" t="str">
        <f>"92223390284"</f>
        <v>92223390284</v>
      </c>
      <c r="J1403" t="str">
        <f>"23-AFFIDAMENTO DIRETTO"</f>
        <v>23-AFFIDAMENTO DIRETTO</v>
      </c>
      <c r="K1403" t="str">
        <f>"23/05/2021"</f>
        <v>23/05/2021</v>
      </c>
      <c r="L1403" t="str">
        <f>"15/11/2021"</f>
        <v>15/11/2021</v>
      </c>
      <c r="M1403" t="str">
        <f>""</f>
        <v/>
      </c>
      <c r="N1403" t="str">
        <f>"RT SRL Via dell'Artigianato 11 44027 Fiscaglia loc. Migliaro FE | Convento Claudio Via III^ Strada 3 Z.A. 30010 Campolongo Maggiore VE | Trolese Daniele via Roma 37A 30010 Camponogara VE"</f>
        <v>RT SRL Via dell'Artigianato 11 44027 Fiscaglia loc. Migliaro FE | Convento Claudio Via III^ Strada 3 Z.A. 30010 Campolongo Maggiore VE | Trolese Daniele via Roma 37A 30010 Camponogara VE</v>
      </c>
      <c r="O1403" t="str">
        <f>"Convento Claudio Via III^ Strada 3 Z.A. 30010 Campolongo Maggiore VE"</f>
        <v>Convento Claudio Via III^ Strada 3 Z.A. 30010 Campolongo Maggiore VE</v>
      </c>
      <c r="P1403" t="str">
        <f>"Z1E19FA0B6: [600.00€ ]"</f>
        <v>Z1E19FA0B6: [600.00€ ]</v>
      </c>
      <c r="Q1403" t="str">
        <f>""</f>
        <v/>
      </c>
      <c r="R1403" t="str">
        <f>""</f>
        <v/>
      </c>
      <c r="S1403" t="str">
        <f>""</f>
        <v/>
      </c>
      <c r="T1403" t="str">
        <f>"https://portaletrasparenza.consorziobacchiglione.it/dettagli/attodigara/457/modifica-della-balaustra-dei-due-soppalchi-all-interno-del-capannone-c-o-s-margherita.html"</f>
        <v>https://portaletrasparenza.consorziobacchiglione.it/dettagli/attodigara/457/modifica-della-balaustra-dei-due-soppalchi-all-interno-del-capannone-c-o-s-margherita.html</v>
      </c>
      <c r="U1403" t="str">
        <f>""</f>
        <v/>
      </c>
      <c r="V14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04" spans="1:22" x14ac:dyDescent="0.3">
      <c r="A1404" t="str">
        <f>"Affidamento"</f>
        <v>Affidamento</v>
      </c>
      <c r="B1404" t="str">
        <f>"Fornitura ed installazione n 2 staffe per supporto elettropompe del grasso ed installazione n 2 strutture copri tubazioni elettropompe Idrovora Fogolana.."</f>
        <v>Fornitura ed installazione n 2 staffe per supporto elettropompe del grasso ed installazione n 2 strutture copri tubazioni elettropompe Idrovora Fogolana..</v>
      </c>
      <c r="C1404" t="str">
        <f>"Z1E19F9AD4"</f>
        <v>Z1E19F9AD4</v>
      </c>
      <c r="D1404" t="str">
        <f>"04/11/2021"</f>
        <v>04/11/2021</v>
      </c>
      <c r="E1404" t="str">
        <f>""</f>
        <v/>
      </c>
      <c r="F1404" t="str">
        <f>""</f>
        <v/>
      </c>
      <c r="G1404" t="str">
        <f>"660.00"</f>
        <v>660.00</v>
      </c>
      <c r="H1404" t="str">
        <f>"Consorzio di bonifica Bacchiglione"</f>
        <v>Consorzio di bonifica Bacchiglione</v>
      </c>
      <c r="I1404" t="str">
        <f>"92223390284"</f>
        <v>92223390284</v>
      </c>
      <c r="J1404" t="str">
        <f>"23-AFFIDAMENTO DIRETTO"</f>
        <v>23-AFFIDAMENTO DIRETTO</v>
      </c>
      <c r="K1404" t="str">
        <f>"23/05/2021"</f>
        <v>23/05/2021</v>
      </c>
      <c r="L1404" t="str">
        <f>"15/11/2021"</f>
        <v>15/11/2021</v>
      </c>
      <c r="M1404" t="str">
        <f>""</f>
        <v/>
      </c>
      <c r="N1404" t="str">
        <f>"RT SRL Via dell'Artigianato 11 44027 Fiscaglia loc. Migliaro FE | Convento Claudio Via III^ Strada 3 Z.A. 30010 Campolongo Maggiore VE | Trolese Daniele via Roma 37A 30010 Camponogara VE"</f>
        <v>RT SRL Via dell'Artigianato 11 44027 Fiscaglia loc. Migliaro FE | Convento Claudio Via III^ Strada 3 Z.A. 30010 Campolongo Maggiore VE | Trolese Daniele via Roma 37A 30010 Camponogara VE</v>
      </c>
      <c r="O1404" t="str">
        <f>"Convento Claudio Via III^ Strada 3 Z.A. 30010 Campolongo Maggiore VE"</f>
        <v>Convento Claudio Via III^ Strada 3 Z.A. 30010 Campolongo Maggiore VE</v>
      </c>
      <c r="P1404" t="str">
        <f>"Z1E19F9AD4: [660.00€ ]"</f>
        <v>Z1E19F9AD4: [660.00€ ]</v>
      </c>
      <c r="Q1404" t="str">
        <f>""</f>
        <v/>
      </c>
      <c r="R1404" t="str">
        <f>""</f>
        <v/>
      </c>
      <c r="S1404" t="str">
        <f>""</f>
        <v/>
      </c>
      <c r="T1404" t="str">
        <f>"https://portaletrasparenza.consorziobacchiglione.it/dettagli/attodigara/456/fornitura-ed-installazione-n-2-staffe-per-supporto-elettropompe-del-grasso-ed-installazione-n-2-strutture-copri-tubazioni-elettropompe-idrovora-fogolana.html"</f>
        <v>https://portaletrasparenza.consorziobacchiglione.it/dettagli/attodigara/456/fornitura-ed-installazione-n-2-staffe-per-supporto-elettropompe-del-grasso-ed-installazione-n-2-strutture-copri-tubazioni-elettropompe-idrovora-fogolana.html</v>
      </c>
      <c r="U1404" t="str">
        <f>""</f>
        <v/>
      </c>
      <c r="V14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05" spans="1:22" x14ac:dyDescent="0.3">
      <c r="A1405" t="str">
        <f>"Affidamento"</f>
        <v>Affidamento</v>
      </c>
      <c r="B1405" t="str">
        <f>"Fornitura N 1 lamiera in alluminio mandorlata per Idrovora S.Margherita."</f>
        <v>Fornitura N 1 lamiera in alluminio mandorlata per Idrovora S.Margherita.</v>
      </c>
      <c r="C1405" t="str">
        <f>"ZD519F992B"</f>
        <v>ZD519F992B</v>
      </c>
      <c r="D1405" t="str">
        <f>"04/11/2021"</f>
        <v>04/11/2021</v>
      </c>
      <c r="E1405" t="str">
        <f>""</f>
        <v/>
      </c>
      <c r="F1405" t="str">
        <f>""</f>
        <v/>
      </c>
      <c r="G1405" t="str">
        <f>"110.00"</f>
        <v>110.00</v>
      </c>
      <c r="H1405" t="str">
        <f>"Consorzio di bonifica Bacchiglione"</f>
        <v>Consorzio di bonifica Bacchiglione</v>
      </c>
      <c r="I1405" t="str">
        <f>"92223390284"</f>
        <v>92223390284</v>
      </c>
      <c r="J1405" t="str">
        <f>"23-AFFIDAMENTO DIRETTO"</f>
        <v>23-AFFIDAMENTO DIRETTO</v>
      </c>
      <c r="K1405" t="str">
        <f>"23/05/2021"</f>
        <v>23/05/2021</v>
      </c>
      <c r="L1405" t="str">
        <f>"15/11/2021"</f>
        <v>15/11/2021</v>
      </c>
      <c r="M1405" t="str">
        <f>""</f>
        <v/>
      </c>
      <c r="N1405" t="str">
        <f>"Convento Claudio Via III^ Strada 3 Z.A. 30010 Campolongo Maggiore VE"</f>
        <v>Convento Claudio Via III^ Strada 3 Z.A. 30010 Campolongo Maggiore VE</v>
      </c>
      <c r="O1405" t="str">
        <f>"Convento Claudio Via III^ Strada 3 Z.A. 30010 Campolongo Maggiore VE"</f>
        <v>Convento Claudio Via III^ Strada 3 Z.A. 30010 Campolongo Maggiore VE</v>
      </c>
      <c r="P1405" t="str">
        <f>"ZD519F992B: [110.00€ ]"</f>
        <v>ZD519F992B: [110.00€ ]</v>
      </c>
      <c r="Q1405" t="str">
        <f>""</f>
        <v/>
      </c>
      <c r="R1405" t="str">
        <f>""</f>
        <v/>
      </c>
      <c r="S1405" t="str">
        <f>""</f>
        <v/>
      </c>
      <c r="T1405" t="str">
        <f>"https://portaletrasparenza.consorziobacchiglione.it/dettagli/attodigara/455/fornitura-n-1-lamiera-in-alluminio-mandorlata-per-idrovora-s-margherita.html"</f>
        <v>https://portaletrasparenza.consorziobacchiglione.it/dettagli/attodigara/455/fornitura-n-1-lamiera-in-alluminio-mandorlata-per-idrovora-s-margherita.html</v>
      </c>
      <c r="U1405" t="str">
        <f>""</f>
        <v/>
      </c>
      <c r="V140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06" spans="1:22" x14ac:dyDescent="0.3">
      <c r="A1406" t="str">
        <f>"Affidamento"</f>
        <v>Affidamento</v>
      </c>
      <c r="B1406" t="str">
        <f>"Noleggio Miniescavatore cingolato 50-60 q per lavoro scolo Valli ."</f>
        <v>Noleggio Miniescavatore cingolato 50-60 q per lavoro scolo Valli .</v>
      </c>
      <c r="C1406" t="str">
        <f>"ZA719F9889"</f>
        <v>ZA719F9889</v>
      </c>
      <c r="D1406" t="str">
        <f>"04/11/2021"</f>
        <v>04/11/2021</v>
      </c>
      <c r="E1406" t="str">
        <f>""</f>
        <v/>
      </c>
      <c r="F1406" t="str">
        <f>""</f>
        <v/>
      </c>
      <c r="G1406" t="str">
        <f>"480.00"</f>
        <v>480.00</v>
      </c>
      <c r="H1406" t="str">
        <f>"Consorzio di bonifica Bacchiglione"</f>
        <v>Consorzio di bonifica Bacchiglione</v>
      </c>
      <c r="I1406" t="str">
        <f>"92223390284"</f>
        <v>92223390284</v>
      </c>
      <c r="J1406" t="str">
        <f>"23-AFFIDAMENTO DIRETTO"</f>
        <v>23-AFFIDAMENTO DIRETTO</v>
      </c>
      <c r="K1406" t="str">
        <f>"23/05/2021"</f>
        <v>23/05/2021</v>
      </c>
      <c r="L1406" t="str">
        <f>"11/07/2021"</f>
        <v>11/07/2021</v>
      </c>
      <c r="M1406" t="str">
        <f>""</f>
        <v/>
      </c>
      <c r="N1406" t="str">
        <f>"Sorme Noleggi s.a.s. Via Monache 21 35030 Selvazzano Dentro PD"</f>
        <v>Sorme Noleggi s.a.s. Via Monache 21 35030 Selvazzano Dentro PD</v>
      </c>
      <c r="O1406" t="str">
        <f>"Sorme Noleggi s.a.s. Via Monache 21 35030 Selvazzano Dentro PD"</f>
        <v>Sorme Noleggi s.a.s. Via Monache 21 35030 Selvazzano Dentro PD</v>
      </c>
      <c r="P1406" t="str">
        <f>"ZA719F9889: [480.00€ ]"</f>
        <v>ZA719F9889: [480.00€ ]</v>
      </c>
      <c r="Q1406" t="str">
        <f>""</f>
        <v/>
      </c>
      <c r="R1406" t="str">
        <f>""</f>
        <v/>
      </c>
      <c r="S1406" t="str">
        <f>""</f>
        <v/>
      </c>
      <c r="T1406" t="str">
        <f>"https://portaletrasparenza.consorziobacchiglione.it/dettagli/attodigara/454/noleggio-miniescavatore-cingolato-50-60-q-per-lavoro-scolo-valli.html"</f>
        <v>https://portaletrasparenza.consorziobacchiglione.it/dettagli/attodigara/454/noleggio-miniescavatore-cingolato-50-60-q-per-lavoro-scolo-valli.html</v>
      </c>
      <c r="U1406" t="str">
        <f>""</f>
        <v/>
      </c>
      <c r="V14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07" spans="1:22" x14ac:dyDescent="0.3">
      <c r="A1407" t="str">
        <f>"Affidamento"</f>
        <v>Affidamento</v>
      </c>
      <c r="B1407" t="str">
        <f>"Corso di formazione per la sicurezza nell'esecuzione dei lavori sugli impianti elettrici, conforme al modulo 1A+2A della nuova norma CEI 11-27 ed IV e D. Lgs. 81/08."</f>
        <v>Corso di formazione per la sicurezza nell'esecuzione dei lavori sugli impianti elettrici, conforme al modulo 1A+2A della nuova norma CEI 11-27 ed IV e D. Lgs. 81/08.</v>
      </c>
      <c r="C1407" t="str">
        <f>"ZDC19F952C"</f>
        <v>ZDC19F952C</v>
      </c>
      <c r="D1407" t="str">
        <f>"04/11/2021"</f>
        <v>04/11/2021</v>
      </c>
      <c r="E1407" t="str">
        <f>""</f>
        <v/>
      </c>
      <c r="F1407" t="str">
        <f>""</f>
        <v/>
      </c>
      <c r="G1407" t="str">
        <f>"200.00"</f>
        <v>200.00</v>
      </c>
      <c r="H1407" t="str">
        <f>"Consorzio di bonifica Bacchiglione"</f>
        <v>Consorzio di bonifica Bacchiglione</v>
      </c>
      <c r="I1407" t="str">
        <f>"92223390284"</f>
        <v>92223390284</v>
      </c>
      <c r="J1407" t="str">
        <f>"23-AFFIDAMENTO DIRETTO"</f>
        <v>23-AFFIDAMENTO DIRETTO</v>
      </c>
      <c r="K1407" t="str">
        <f>"23/05/2021"</f>
        <v>23/05/2021</v>
      </c>
      <c r="L1407" t="str">
        <f>"01/07/2021"</f>
        <v>01/07/2021</v>
      </c>
      <c r="M1407" t="str">
        <f>""</f>
        <v/>
      </c>
      <c r="N1407" t="str">
        <f>"Aviel Unae Veneto presso Università di Padova - Dipartimento di Ingegneria Elettrica Via G. Gradenigo 6A 35131 Padova"</f>
        <v>Aviel Unae Veneto presso Università di Padova - Dipartimento di Ingegneria Elettrica Via G. Gradenigo 6A 35131 Padova</v>
      </c>
      <c r="O1407" t="str">
        <f>"Aviel Unae Veneto presso Università di Padova - Dipartimento di Ingegneria Elettrica Via G. Gradenigo 6A 35131 Padova"</f>
        <v>Aviel Unae Veneto presso Università di Padova - Dipartimento di Ingegneria Elettrica Via G. Gradenigo 6A 35131 Padova</v>
      </c>
      <c r="P1407" t="str">
        <f>"ZDC19F952C: [200.00€ ]"</f>
        <v>ZDC19F952C: [200.00€ ]</v>
      </c>
      <c r="Q1407" t="str">
        <f>""</f>
        <v/>
      </c>
      <c r="R1407" t="str">
        <f>""</f>
        <v/>
      </c>
      <c r="S1407" t="str">
        <f>""</f>
        <v/>
      </c>
      <c r="T1407" t="str">
        <f>"https://portaletrasparenza.consorziobacchiglione.it/dettagli/attodigara/453/corso-di-formazione-per-la-sicurezza-nell-esecuzione-dei-lavori-sugli-impianti-elettrici-conforme-al-modulo-1a-2a-della-nuova-norma-cei-11-27-ed-iv-e-d-lgs-81-08.html"</f>
        <v>https://portaletrasparenza.consorziobacchiglione.it/dettagli/attodigara/453/corso-di-formazione-per-la-sicurezza-nell-esecuzione-dei-lavori-sugli-impianti-elettrici-conforme-al-modulo-1a-2a-della-nuova-norma-cei-11-27-ed-iv-e-d-lgs-81-08.html</v>
      </c>
      <c r="U1407" t="str">
        <f>""</f>
        <v/>
      </c>
      <c r="V140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08" spans="1:22" x14ac:dyDescent="0.3">
      <c r="A1408" t="str">
        <f>"Affidamento"</f>
        <v>Affidamento</v>
      </c>
      <c r="B1408" t="str">
        <f>"Lavori di spostamento e ricollocamento della linea in fibra ottica presso il cavalcavia Camerini - Processo ID 006-03."</f>
        <v>Lavori di spostamento e ricollocamento della linea in fibra ottica presso il cavalcavia Camerini - Processo ID 006-03.</v>
      </c>
      <c r="C1408" t="str">
        <f>"Z6E19FFFCF"</f>
        <v>Z6E19FFFCF</v>
      </c>
      <c r="D1408" t="str">
        <f>"04/11/2021"</f>
        <v>04/11/2021</v>
      </c>
      <c r="E1408" t="str">
        <f>""</f>
        <v/>
      </c>
      <c r="F1408" t="str">
        <f>""</f>
        <v/>
      </c>
      <c r="G1408" t="str">
        <f>"6230.96"</f>
        <v>6230.96</v>
      </c>
      <c r="H1408" t="str">
        <f>"Consorzio di bonifica Bacchiglione"</f>
        <v>Consorzio di bonifica Bacchiglione</v>
      </c>
      <c r="I1408" t="str">
        <f>"92223390284"</f>
        <v>92223390284</v>
      </c>
      <c r="J1408" t="str">
        <f>"23-AFFIDAMENTO DIRETTO"</f>
        <v>23-AFFIDAMENTO DIRETTO</v>
      </c>
      <c r="K1408" t="str">
        <f>"23/05/2021"</f>
        <v>23/05/2021</v>
      </c>
      <c r="L1408" t="str">
        <f>"22/08/2021"</f>
        <v>22/08/2021</v>
      </c>
      <c r="M1408" t="str">
        <f>""</f>
        <v/>
      </c>
      <c r="N1408" t="str">
        <f>"Wind Telecomunicazioni S.p.A. - Network Operations North East"</f>
        <v>Wind Telecomunicazioni S.p.A. - Network Operations North East</v>
      </c>
      <c r="O1408" t="str">
        <f>"Wind Telecomunicazioni S.p.A. - Network Operations North East"</f>
        <v>Wind Telecomunicazioni S.p.A. - Network Operations North East</v>
      </c>
      <c r="P1408" t="str">
        <f>"Z6E19FFFCF: [6230.96€ ]"</f>
        <v>Z6E19FFFCF: [6230.96€ ]</v>
      </c>
      <c r="Q1408" t="str">
        <f>""</f>
        <v/>
      </c>
      <c r="R1408" t="str">
        <f>""</f>
        <v/>
      </c>
      <c r="S1408" t="str">
        <f>""</f>
        <v/>
      </c>
      <c r="T1408" t="str">
        <f>"https://portaletrasparenza.consorziobacchiglione.it/dettagli/attodigara/452/lavori-di-spostamento-e-ricollocamento-della-linea-in-fibra-ottica-presso-il-cavalcavia-camerini-processo-id-006-03.html"</f>
        <v>https://portaletrasparenza.consorziobacchiglione.it/dettagli/attodigara/452/lavori-di-spostamento-e-ricollocamento-della-linea-in-fibra-ottica-presso-il-cavalcavia-camerini-processo-id-006-03.html</v>
      </c>
      <c r="U1408" t="str">
        <f>""</f>
        <v/>
      </c>
      <c r="V14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09" spans="1:22" x14ac:dyDescent="0.3">
      <c r="A1409" t="str">
        <f>"Affidamento"</f>
        <v>Affidamento</v>
      </c>
      <c r="B1409" t="str">
        <f>"Fornitura Toner per stampanti HP Laserjet CP 2025"</f>
        <v>Fornitura Toner per stampanti HP Laserjet CP 2025</v>
      </c>
      <c r="C1409" t="str">
        <f>"Z2B1A65BF5"</f>
        <v>Z2B1A65BF5</v>
      </c>
      <c r="D1409" t="str">
        <f>"04/11/2021"</f>
        <v>04/11/2021</v>
      </c>
      <c r="E1409" t="str">
        <f>""</f>
        <v/>
      </c>
      <c r="F1409" t="str">
        <f>""</f>
        <v/>
      </c>
      <c r="G1409" t="str">
        <f>"1559.00"</f>
        <v>1559.00</v>
      </c>
      <c r="H1409" t="str">
        <f>"Consorzio di bonifica Bacchiglione"</f>
        <v>Consorzio di bonifica Bacchiglione</v>
      </c>
      <c r="I1409" t="str">
        <f>"92223390284"</f>
        <v>92223390284</v>
      </c>
      <c r="J1409" t="str">
        <f>"23-AFFIDAMENTO DIRETTO"</f>
        <v>23-AFFIDAMENTO DIRETTO</v>
      </c>
      <c r="K1409" t="str">
        <f>"23/06/2021"</f>
        <v>23/06/2021</v>
      </c>
      <c r="L1409" t="str">
        <f>"01/08/2021"</f>
        <v>01/08/2021</v>
      </c>
      <c r="M1409" t="str">
        <f>""</f>
        <v/>
      </c>
      <c r="N1409" t="str">
        <f>"FR di Fumani Riccardo e C. s.n.c. Viale Navigazione Interna 82 L 35027 Noventa Padovana PD"</f>
        <v>FR di Fumani Riccardo e C. s.n.c. Viale Navigazione Interna 82 L 35027 Noventa Padovana PD</v>
      </c>
      <c r="O1409" t="str">
        <f>"FR di Fumani Riccardo e C. s.n.c. Viale Navigazione Interna 82 L 35027 Noventa Padovana PD"</f>
        <v>FR di Fumani Riccardo e C. s.n.c. Viale Navigazione Interna 82 L 35027 Noventa Padovana PD</v>
      </c>
      <c r="P1409" t="str">
        <f>"Z2B1A65BF5: [1559.00€ ]"</f>
        <v>Z2B1A65BF5: [1559.00€ ]</v>
      </c>
      <c r="Q1409" t="str">
        <f>""</f>
        <v/>
      </c>
      <c r="R1409" t="str">
        <f>""</f>
        <v/>
      </c>
      <c r="S1409" t="str">
        <f>""</f>
        <v/>
      </c>
      <c r="T1409" t="str">
        <f>"https://portaletrasparenza.consorziobacchiglione.it/dettagli/attodigara/541/fornitura-toner-per-stampanti-hp-laserjet-cp-2025.html"</f>
        <v>https://portaletrasparenza.consorziobacchiglione.it/dettagli/attodigara/541/fornitura-toner-per-stampanti-hp-laserjet-cp-2025.html</v>
      </c>
      <c r="U1409" t="str">
        <f>""</f>
        <v/>
      </c>
      <c r="V14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10" spans="1:22" x14ac:dyDescent="0.3">
      <c r="A1410" t="str">
        <f>"Affidamento"</f>
        <v>Affidamento</v>
      </c>
      <c r="B1410" t="str">
        <f>"Fornitura ricambi per decespugliatore Stihl"</f>
        <v>Fornitura ricambi per decespugliatore Stihl</v>
      </c>
      <c r="C1410" t="str">
        <f>"Z6E323ADCC"</f>
        <v>Z6E323ADCC</v>
      </c>
      <c r="D1410" t="str">
        <f>"06/07/2021"</f>
        <v>06/07/2021</v>
      </c>
      <c r="E1410" t="str">
        <f>""</f>
        <v/>
      </c>
      <c r="F1410" t="str">
        <f>""</f>
        <v/>
      </c>
      <c r="G1410" t="str">
        <f>"883.20"</f>
        <v>883.20</v>
      </c>
      <c r="H1410" t="str">
        <f>"Consorzio di bonifica Bacchiglione"</f>
        <v>Consorzio di bonifica Bacchiglione</v>
      </c>
      <c r="I1410" t="str">
        <f>"92223390284"</f>
        <v>92223390284</v>
      </c>
      <c r="J1410" t="str">
        <f>"23-AFFIDAMENTO DIRETTO"</f>
        <v>23-AFFIDAMENTO DIRETTO</v>
      </c>
      <c r="K1410" t="str">
        <f>"23/06/2021"</f>
        <v>23/06/2021</v>
      </c>
      <c r="L1410" t="str">
        <f>"16/07/2021"</f>
        <v>16/07/2021</v>
      </c>
      <c r="M1410" t="str">
        <f>""</f>
        <v/>
      </c>
      <c r="N1410" t="str">
        <f>"Mini Motor di Vettorato Gabriele Via Puccini 3 35020 Brugine PD"</f>
        <v>Mini Motor di Vettorato Gabriele Via Puccini 3 35020 Brugine PD</v>
      </c>
      <c r="O1410" t="str">
        <f>"Mini Motor di Vettorato Gabriele Via Puccini 3 35020 Brugine PD"</f>
        <v>Mini Motor di Vettorato Gabriele Via Puccini 3 35020 Brugine PD</v>
      </c>
      <c r="P1410" t="str">
        <f>"Z6E323ADCC: [883.20€ ]"</f>
        <v>Z6E323ADCC: [883.20€ ]</v>
      </c>
      <c r="Q1410" t="str">
        <f>""</f>
        <v/>
      </c>
      <c r="R1410" t="str">
        <f>""</f>
        <v/>
      </c>
      <c r="S1410" t="str">
        <f>""</f>
        <v/>
      </c>
      <c r="T1410" t="str">
        <f>"https://portaletrasparenza.consorziobacchiglione.it/dettagli/attodigara/6973/fornitura-ricambi-per-decespugliatore-stihl.html"</f>
        <v>https://portaletrasparenza.consorziobacchiglione.it/dettagli/attodigara/6973/fornitura-ricambi-per-decespugliatore-stihl.html</v>
      </c>
      <c r="U1410" t="str">
        <f>"https://portaletrasparenza.consorziobacchiglione.it/download/attodigara/6973/63ac45a219b0b.PDF"</f>
        <v>https://portaletrasparenza.consorziobacchiglione.it/download/attodigara/6973/63ac45a219b0b.PDF</v>
      </c>
      <c r="V14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11" spans="1:22" x14ac:dyDescent="0.3">
      <c r="A1411" t="str">
        <f>"Affidamento"</f>
        <v>Affidamento</v>
      </c>
      <c r="B1411" t="str">
        <f>"Sostituzione n.2 pneumatici del mezzo targato: EW930NS"</f>
        <v>Sostituzione n.2 pneumatici del mezzo targato: EW930NS</v>
      </c>
      <c r="C1411" t="str">
        <f>"ZD7323ACAF"</f>
        <v>ZD7323ACAF</v>
      </c>
      <c r="D1411" t="str">
        <f>"06/07/2021"</f>
        <v>06/07/2021</v>
      </c>
      <c r="E1411" t="str">
        <f>""</f>
        <v/>
      </c>
      <c r="F1411" t="str">
        <f>""</f>
        <v/>
      </c>
      <c r="G1411" t="str">
        <f>"285.20"</f>
        <v>285.20</v>
      </c>
      <c r="H1411" t="str">
        <f>"Consorzio di bonifica Bacchiglione"</f>
        <v>Consorzio di bonifica Bacchiglione</v>
      </c>
      <c r="I1411" t="str">
        <f>"92223390284"</f>
        <v>92223390284</v>
      </c>
      <c r="J1411" t="str">
        <f>"23-AFFIDAMENTO DIRETTO"</f>
        <v>23-AFFIDAMENTO DIRETTO</v>
      </c>
      <c r="K1411" t="str">
        <f>"23/06/2021"</f>
        <v>23/06/2021</v>
      </c>
      <c r="L1411" t="str">
        <f>"27/07/2021"</f>
        <v>27/07/2021</v>
      </c>
      <c r="M1411" t="str">
        <f>""</f>
        <v/>
      </c>
      <c r="N1411" t="str">
        <f>"Giacobazzi Gomme Corso Terme 27 35036 Montegrotto Terme PD"</f>
        <v>Giacobazzi Gomme Corso Terme 27 35036 Montegrotto Terme PD</v>
      </c>
      <c r="O1411" t="str">
        <f>"Giacobazzi Gomme Corso Terme 27 35036 Montegrotto Terme PD"</f>
        <v>Giacobazzi Gomme Corso Terme 27 35036 Montegrotto Terme PD</v>
      </c>
      <c r="P1411" t="str">
        <f>"ZD7323ACAF: [285.20€ ]"</f>
        <v>ZD7323ACAF: [285.20€ ]</v>
      </c>
      <c r="Q1411" t="str">
        <f>""</f>
        <v/>
      </c>
      <c r="R1411" t="str">
        <f>""</f>
        <v/>
      </c>
      <c r="S1411" t="str">
        <f>""</f>
        <v/>
      </c>
      <c r="T1411" t="str">
        <f>"https://portaletrasparenza.consorziobacchiglione.it/dettagli/attodigara/6972/sostituzione-n-2-pneumatici-del-mezzo-targato-ew930ns.html"</f>
        <v>https://portaletrasparenza.consorziobacchiglione.it/dettagli/attodigara/6972/sostituzione-n-2-pneumatici-del-mezzo-targato-ew930ns.html</v>
      </c>
      <c r="U1411" t="str">
        <f>"https://portaletrasparenza.consorziobacchiglione.it/download/attodigara/6972/63ac45a1d557b.PDF"</f>
        <v>https://portaletrasparenza.consorziobacchiglione.it/download/attodigara/6972/63ac45a1d557b.PDF</v>
      </c>
      <c r="V141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12" spans="1:22" x14ac:dyDescent="0.3">
      <c r="A1412" t="str">
        <f>"Affidamento"</f>
        <v>Affidamento</v>
      </c>
      <c r="B1412" t="str">
        <f>"Manutenzione e riparazione mezzi targati: ALA152 e Cingolato 904"</f>
        <v>Manutenzione e riparazione mezzi targati: ALA152 e Cingolato 904</v>
      </c>
      <c r="C1412" t="str">
        <f>"ZCD323A902"</f>
        <v>ZCD323A902</v>
      </c>
      <c r="D1412" t="str">
        <f>"06/07/2021"</f>
        <v>06/07/2021</v>
      </c>
      <c r="E1412" t="str">
        <f>""</f>
        <v/>
      </c>
      <c r="F1412" t="str">
        <f>""</f>
        <v/>
      </c>
      <c r="G1412" t="str">
        <f>"1334.73"</f>
        <v>1334.73</v>
      </c>
      <c r="H1412" t="str">
        <f>"Consorzio di bonifica Bacchiglione"</f>
        <v>Consorzio di bonifica Bacchiglione</v>
      </c>
      <c r="I1412" t="str">
        <f>"92223390284"</f>
        <v>92223390284</v>
      </c>
      <c r="J1412" t="str">
        <f>"23-AFFIDAMENTO DIRETTO"</f>
        <v>23-AFFIDAMENTO DIRETTO</v>
      </c>
      <c r="K1412" t="str">
        <f>"23/06/2021"</f>
        <v>23/06/2021</v>
      </c>
      <c r="L1412" t="str">
        <f>"20/07/2021"</f>
        <v>20/07/2021</v>
      </c>
      <c r="M1412" t="str">
        <f>""</f>
        <v/>
      </c>
      <c r="N1412" t="str">
        <f>"Adriatica Commerciale Macchine s.r.l. Via dell'Artigianato 5 35020 Due Carrare PD"</f>
        <v>Adriatica Commerciale Macchine s.r.l. Via dell'Artigianato 5 35020 Due Carrare PD</v>
      </c>
      <c r="O1412" t="str">
        <f>"Adriatica Commerciale Macchine s.r.l. Via dell'Artigianato 5 35020 Due Carrare PD"</f>
        <v>Adriatica Commerciale Macchine s.r.l. Via dell'Artigianato 5 35020 Due Carrare PD</v>
      </c>
      <c r="P1412" t="str">
        <f>"ZCD323A902: [1334.73€ ]"</f>
        <v>ZCD323A902: [1334.73€ ]</v>
      </c>
      <c r="Q1412" t="str">
        <f>""</f>
        <v/>
      </c>
      <c r="R1412" t="str">
        <f>""</f>
        <v/>
      </c>
      <c r="S1412" t="str">
        <f>""</f>
        <v/>
      </c>
      <c r="T1412" t="str">
        <f>"https://portaletrasparenza.consorziobacchiglione.it/dettagli/attodigara/6971/manutenzione-e-riparazione-mezzi-targati-ala152-e-cingolato-904.html"</f>
        <v>https://portaletrasparenza.consorziobacchiglione.it/dettagli/attodigara/6971/manutenzione-e-riparazione-mezzi-targati-ala152-e-cingolato-904.html</v>
      </c>
      <c r="U1412" t="str">
        <f>"https://portaletrasparenza.consorziobacchiglione.it/download/attodigara/6971/63ac45a19cc7a.PDF"</f>
        <v>https://portaletrasparenza.consorziobacchiglione.it/download/attodigara/6971/63ac45a19cc7a.PDF</v>
      </c>
      <c r="V14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13" spans="1:22" x14ac:dyDescent="0.3">
      <c r="A1413" t="str">
        <f>"Affidamento"</f>
        <v>Affidamento</v>
      </c>
      <c r="B1413" t="str">
        <f>"ID 013-19 Adeguamento barriere stradali al fine di rendere accesibili i nuovi quadri di comando del sostegno By Pass scolo Boracchia"</f>
        <v>ID 013-19 Adeguamento barriere stradali al fine di rendere accesibili i nuovi quadri di comando del sostegno By Pass scolo Boracchia</v>
      </c>
      <c r="C1413" t="str">
        <f>"ZBE323A3FC"</f>
        <v>ZBE323A3FC</v>
      </c>
      <c r="D1413" t="str">
        <f>"06/07/2021"</f>
        <v>06/07/2021</v>
      </c>
      <c r="E1413" t="str">
        <f>""</f>
        <v/>
      </c>
      <c r="F1413" t="str">
        <f>""</f>
        <v/>
      </c>
      <c r="G1413" t="str">
        <f>"561.00"</f>
        <v>561.00</v>
      </c>
      <c r="H1413" t="str">
        <f>"Consorzio di bonifica Bacchiglione"</f>
        <v>Consorzio di bonifica Bacchiglione</v>
      </c>
      <c r="I1413" t="str">
        <f>"92223390284"</f>
        <v>92223390284</v>
      </c>
      <c r="J1413" t="str">
        <f>"23-AFFIDAMENTO DIRETTO"</f>
        <v>23-AFFIDAMENTO DIRETTO</v>
      </c>
      <c r="K1413" t="str">
        <f>"23/06/2021"</f>
        <v>23/06/2021</v>
      </c>
      <c r="L1413" t="str">
        <f>"16/08/2021"</f>
        <v>16/08/2021</v>
      </c>
      <c r="M1413" t="str">
        <f>""</f>
        <v/>
      </c>
      <c r="N1413" t="str">
        <f>"Impresa Edile F.lli Conte di Conte Emilio E C. - società in nome collettivo"</f>
        <v>Impresa Edile F.lli Conte di Conte Emilio E C. - società in nome collettivo</v>
      </c>
      <c r="O1413" t="str">
        <f>"Impresa Edile F.lli Conte di Conte Emilio E C. - società in nome collettivo"</f>
        <v>Impresa Edile F.lli Conte di Conte Emilio E C. - società in nome collettivo</v>
      </c>
      <c r="P1413" t="str">
        <f>"ZBE323A3FC: [561.00€ ]"</f>
        <v>ZBE323A3FC: [561.00€ ]</v>
      </c>
      <c r="Q1413" t="str">
        <f>""</f>
        <v/>
      </c>
      <c r="R1413" t="str">
        <f>""</f>
        <v/>
      </c>
      <c r="S1413" t="str">
        <f>""</f>
        <v/>
      </c>
      <c r="T1413" t="str">
        <f>"https://portaletrasparenza.consorziobacchiglione.it/dettagli/attodigara/6970/id-013-19-adeguamento-barriere-stradali-al-fine-di-rendere-accesibili-i-nuovi-quadri-di-comando-del-sostegno-by-pass-scolo-boracchia.html"</f>
        <v>https://portaletrasparenza.consorziobacchiglione.it/dettagli/attodigara/6970/id-013-19-adeguamento-barriere-stradali-al-fine-di-rendere-accesibili-i-nuovi-quadri-di-comando-del-sostegno-by-pass-scolo-boracchia.html</v>
      </c>
      <c r="U1413" t="str">
        <f>"https://portaletrasparenza.consorziobacchiglione.it/download/attodigara/6970/63ac45a1641eb.PDF"</f>
        <v>https://portaletrasparenza.consorziobacchiglione.it/download/attodigara/6970/63ac45a1641eb.PDF</v>
      </c>
      <c r="V14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14" spans="1:22" x14ac:dyDescent="0.3">
      <c r="A1414" t="str">
        <f>"Affidamento"</f>
        <v>Affidamento</v>
      </c>
      <c r="B1414" t="str">
        <f>"Tagliando completo su mezzo targato: FN935RF"</f>
        <v>Tagliando completo su mezzo targato: FN935RF</v>
      </c>
      <c r="C1414" t="str">
        <f>"ZC5323A0F8"</f>
        <v>ZC5323A0F8</v>
      </c>
      <c r="D1414" t="str">
        <f>"06/07/2021"</f>
        <v>06/07/2021</v>
      </c>
      <c r="E1414" t="str">
        <f>""</f>
        <v/>
      </c>
      <c r="F1414" t="str">
        <f>""</f>
        <v/>
      </c>
      <c r="G1414" t="str">
        <f>"234.05"</f>
        <v>234.05</v>
      </c>
      <c r="H1414" t="str">
        <f>"Consorzio di bonifica Bacchiglione"</f>
        <v>Consorzio di bonifica Bacchiglione</v>
      </c>
      <c r="I1414" t="str">
        <f>"92223390284"</f>
        <v>92223390284</v>
      </c>
      <c r="J1414" t="str">
        <f>"23-AFFIDAMENTO DIRETTO"</f>
        <v>23-AFFIDAMENTO DIRETTO</v>
      </c>
      <c r="K1414" t="str">
        <f>"23/06/2021"</f>
        <v>23/06/2021</v>
      </c>
      <c r="L1414" t="str">
        <f>"12/07/2021"</f>
        <v>12/07/2021</v>
      </c>
      <c r="M1414" t="str">
        <f>""</f>
        <v/>
      </c>
      <c r="N1414" t="str">
        <f>"Fanton Auto Srl Via dell'Artigianato, 2 - 35020 Casalserugo"</f>
        <v>Fanton Auto Srl Via dell'Artigianato, 2 - 35020 Casalserugo</v>
      </c>
      <c r="O1414" t="str">
        <f>"Fanton Auto Srl Via dell'Artigianato, 2 - 35020 Casalserugo"</f>
        <v>Fanton Auto Srl Via dell'Artigianato, 2 - 35020 Casalserugo</v>
      </c>
      <c r="P1414" t="str">
        <f>"ZC5323A0F8: [234.05€ ]"</f>
        <v>ZC5323A0F8: [234.05€ ]</v>
      </c>
      <c r="Q1414" t="str">
        <f>""</f>
        <v/>
      </c>
      <c r="R1414" t="str">
        <f>""</f>
        <v/>
      </c>
      <c r="S1414" t="str">
        <f>""</f>
        <v/>
      </c>
      <c r="T1414" t="str">
        <f>"https://portaletrasparenza.consorziobacchiglione.it/dettagli/attodigara/6968/tagliando-completo-su-mezzo-targato-fn935rf.html"</f>
        <v>https://portaletrasparenza.consorziobacchiglione.it/dettagli/attodigara/6968/tagliando-completo-su-mezzo-targato-fn935rf.html</v>
      </c>
      <c r="U1414" t="str">
        <f>"https://portaletrasparenza.consorziobacchiglione.it/download/attodigara/6968/63ac45a12b461.PDF"</f>
        <v>https://portaletrasparenza.consorziobacchiglione.it/download/attodigara/6968/63ac45a12b461.PDF</v>
      </c>
      <c r="V141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15" spans="1:22" x14ac:dyDescent="0.3">
      <c r="A1415" t="str">
        <f>"Affidamento"</f>
        <v>Affidamento</v>
      </c>
      <c r="B1415" t="str">
        <f>"Fornitura materiale elettrico per Uff. Impianti"</f>
        <v>Fornitura materiale elettrico per Uff. Impianti</v>
      </c>
      <c r="C1415" t="str">
        <f>"Z823239AAD"</f>
        <v>Z823239AAD</v>
      </c>
      <c r="D1415" t="str">
        <f>"06/07/2021"</f>
        <v>06/07/2021</v>
      </c>
      <c r="E1415" t="str">
        <f>""</f>
        <v/>
      </c>
      <c r="F1415" t="str">
        <f>""</f>
        <v/>
      </c>
      <c r="G1415" t="str">
        <f>"1062.00"</f>
        <v>1062.00</v>
      </c>
      <c r="H1415" t="str">
        <f>"Consorzio di bonifica Bacchiglione"</f>
        <v>Consorzio di bonifica Bacchiglione</v>
      </c>
      <c r="I1415" t="str">
        <f>"92223390284"</f>
        <v>92223390284</v>
      </c>
      <c r="J1415" t="str">
        <f>"23-AFFIDAMENTO DIRETTO"</f>
        <v>23-AFFIDAMENTO DIRETTO</v>
      </c>
      <c r="K1415" t="str">
        <f>"23/06/2021"</f>
        <v>23/06/2021</v>
      </c>
      <c r="L1415" t="str">
        <f>"06/08/2021"</f>
        <v>06/08/2021</v>
      </c>
      <c r="M1415" t="str">
        <f>""</f>
        <v/>
      </c>
      <c r="N1415" t="str">
        <f>"Omnicon Srl Via Petrarca 14a 20843 Verano Brianza MB"</f>
        <v>Omnicon Srl Via Petrarca 14a 20843 Verano Brianza MB</v>
      </c>
      <c r="O1415" t="str">
        <f>"Omnicon Srl Via Petrarca 14a 20843 Verano Brianza MB"</f>
        <v>Omnicon Srl Via Petrarca 14a 20843 Verano Brianza MB</v>
      </c>
      <c r="P1415" t="str">
        <f>"Z823239AAD: [1062.00€ ]"</f>
        <v>Z823239AAD: [1062.00€ ]</v>
      </c>
      <c r="Q1415" t="str">
        <f>""</f>
        <v/>
      </c>
      <c r="R1415" t="str">
        <f>""</f>
        <v/>
      </c>
      <c r="S1415" t="str">
        <f>""</f>
        <v/>
      </c>
      <c r="T1415" t="str">
        <f>"https://portaletrasparenza.consorziobacchiglione.it/dettagli/attodigara/6967/fornitura-materiale-elettrico-per-uff-impianti.html"</f>
        <v>https://portaletrasparenza.consorziobacchiglione.it/dettagli/attodigara/6967/fornitura-materiale-elettrico-per-uff-impianti.html</v>
      </c>
      <c r="U1415" t="str">
        <f>"https://portaletrasparenza.consorziobacchiglione.it/download/attodigara/6967/63ac45a0e6c34.PDF"</f>
        <v>https://portaletrasparenza.consorziobacchiglione.it/download/attodigara/6967/63ac45a0e6c34.PDF</v>
      </c>
      <c r="V141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16" spans="1:22" x14ac:dyDescent="0.3">
      <c r="A1416" t="str">
        <f>"Affidamento"</f>
        <v>Affidamento</v>
      </c>
      <c r="B1416" t="str">
        <f>"Nuova fornitura di energia elettrica per paratoia sostegno bypass Boracchia, POD IT001E191008031."</f>
        <v>Nuova fornitura di energia elettrica per paratoia sostegno bypass Boracchia, POD IT001E191008031.</v>
      </c>
      <c r="C1416" t="str">
        <f>"ZA53239A4E"</f>
        <v>ZA53239A4E</v>
      </c>
      <c r="D1416" t="str">
        <f>"23/06/2021"</f>
        <v>23/06/2021</v>
      </c>
      <c r="E1416" t="str">
        <f>""</f>
        <v/>
      </c>
      <c r="F1416" t="str">
        <f>""</f>
        <v/>
      </c>
      <c r="G1416" t="str">
        <f>"527.04"</f>
        <v>527.04</v>
      </c>
      <c r="H1416" t="str">
        <f>"Consorzio di bonifica Bacchiglione"</f>
        <v>Consorzio di bonifica Bacchiglione</v>
      </c>
      <c r="I1416" t="str">
        <f>"92223390284"</f>
        <v>92223390284</v>
      </c>
      <c r="J1416" t="str">
        <f>"23-AFFIDAMENTO DIRETTO"</f>
        <v>23-AFFIDAMENTO DIRETTO</v>
      </c>
      <c r="K1416" t="str">
        <f>"23/06/2021"</f>
        <v>23/06/2021</v>
      </c>
      <c r="L1416" t="str">
        <f>"17/08/2021"</f>
        <v>17/08/2021</v>
      </c>
      <c r="M1416" t="str">
        <f>""</f>
        <v/>
      </c>
      <c r="N1416" t="str">
        <f>"NOVA AEG S.p.A. Via Nelson Mandela, 4 - 13100 Vercelli (VC)"</f>
        <v>NOVA AEG S.p.A. Via Nelson Mandela, 4 - 13100 Vercelli (VC)</v>
      </c>
      <c r="O1416" t="str">
        <f>"NOVA AEG S.p.A. Via Nelson Mandela, 4 - 13100 Vercelli (VC)"</f>
        <v>NOVA AEG S.p.A. Via Nelson Mandela, 4 - 13100 Vercelli (VC)</v>
      </c>
      <c r="P1416" t="str">
        <f>"ZA53239A4E: [527.04€ ]"</f>
        <v>ZA53239A4E: [527.04€ ]</v>
      </c>
      <c r="Q1416" t="str">
        <f>""</f>
        <v/>
      </c>
      <c r="R1416" t="str">
        <f>""</f>
        <v/>
      </c>
      <c r="S1416" t="str">
        <f>""</f>
        <v/>
      </c>
      <c r="T1416" t="str">
        <f>"https://portaletrasparenza.consorziobacchiglione.it/dettagli/attodigara/6966/nuova-fornitura-di-energia-elettrica-per-paratoia-sostegno-bypass-boracchia-pod-it001e191008031.html"</f>
        <v>https://portaletrasparenza.consorziobacchiglione.it/dettagli/attodigara/6966/nuova-fornitura-di-energia-elettrica-per-paratoia-sostegno-bypass-boracchia-pod-it001e191008031.html</v>
      </c>
      <c r="U1416" t="str">
        <f>"https://portaletrasparenza.consorziobacchiglione.it/download/attodigara/6966/63ac459e5ecf1.PDF"</f>
        <v>https://portaletrasparenza.consorziobacchiglione.it/download/attodigara/6966/63ac459e5ecf1.PDF</v>
      </c>
      <c r="V141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17" spans="1:22" x14ac:dyDescent="0.3">
      <c r="A1417" t="str">
        <f>"Affidamento"</f>
        <v>Affidamento</v>
      </c>
      <c r="B1417" t="str">
        <f>"Rinnovo gestione servizi di posta elettronica con Office 365 Exchange e Gateway Security mail Protection"</f>
        <v>Rinnovo gestione servizi di posta elettronica con Office 365 Exchange e Gateway Security mail Protection</v>
      </c>
      <c r="C1417" t="str">
        <f>"Z2B3238E03"</f>
        <v>Z2B3238E03</v>
      </c>
      <c r="D1417" t="str">
        <f>"23/06/2021"</f>
        <v>23/06/2021</v>
      </c>
      <c r="E1417" t="str">
        <f>""</f>
        <v/>
      </c>
      <c r="F1417" t="str">
        <f>""</f>
        <v/>
      </c>
      <c r="G1417" t="str">
        <f>"5774.40"</f>
        <v>5774.40</v>
      </c>
      <c r="H1417" t="str">
        <f>"Consorzio di bonifica Bacchiglione"</f>
        <v>Consorzio di bonifica Bacchiglione</v>
      </c>
      <c r="I1417" t="str">
        <f>"92223390284"</f>
        <v>92223390284</v>
      </c>
      <c r="J1417" t="str">
        <f>"23-AFFIDAMENTO DIRETTO"</f>
        <v>23-AFFIDAMENTO DIRETTO</v>
      </c>
      <c r="K1417" t="str">
        <f>"23/06/2021"</f>
        <v>23/06/2021</v>
      </c>
      <c r="L1417" t="str">
        <f>"30/07/2021"</f>
        <v>30/07/2021</v>
      </c>
      <c r="M1417" t="str">
        <f>""</f>
        <v/>
      </c>
      <c r="N1417" t="str">
        <f>"Hard Service S.r.l. Via del Progresso, 2 35010 Peraga di Vigonza (PD)"</f>
        <v>Hard Service S.r.l. Via del Progresso, 2 35010 Peraga di Vigonza (PD)</v>
      </c>
      <c r="O1417" t="str">
        <f>"Hard Service S.r.l. Via del Progresso, 2 35010 Peraga di Vigonza (PD)"</f>
        <v>Hard Service S.r.l. Via del Progresso, 2 35010 Peraga di Vigonza (PD)</v>
      </c>
      <c r="P1417" t="str">
        <f>"Z2B3238E03: [5774.40€ ]"</f>
        <v>Z2B3238E03: [5774.40€ ]</v>
      </c>
      <c r="Q1417" t="str">
        <f>""</f>
        <v/>
      </c>
      <c r="R1417" t="str">
        <f>""</f>
        <v/>
      </c>
      <c r="S1417" t="str">
        <f>""</f>
        <v/>
      </c>
      <c r="T1417" t="str">
        <f>"https://portaletrasparenza.consorziobacchiglione.it/dettagli/attodigara/6965/rinnovo-gestione-servizi-di-posta-elettronica-con-office-365-exchange-e-gateway-security-mail-protection.html"</f>
        <v>https://portaletrasparenza.consorziobacchiglione.it/dettagli/attodigara/6965/rinnovo-gestione-servizi-di-posta-elettronica-con-office-365-exchange-e-gateway-security-mail-protection.html</v>
      </c>
      <c r="U1417" t="str">
        <f>"https://portaletrasparenza.consorziobacchiglione.it/download/attodigara/6965/63ac459e264d3.PDF"</f>
        <v>https://portaletrasparenza.consorziobacchiglione.it/download/attodigara/6965/63ac459e264d3.PDF</v>
      </c>
      <c r="V141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18" spans="1:22" x14ac:dyDescent="0.3">
      <c r="A1418" t="str">
        <f>"Affidamento"</f>
        <v>Affidamento</v>
      </c>
      <c r="B1418" t="str">
        <f>"Formazione in materia di appalti pubblici: decreto semplificazioni 77/2021."</f>
        <v>Formazione in materia di appalti pubblici: decreto semplificazioni 77/2021.</v>
      </c>
      <c r="C1418" t="str">
        <f>"Z16323AAAB"</f>
        <v>Z16323AAAB</v>
      </c>
      <c r="D1418" t="str">
        <f>"23/06/2021"</f>
        <v>23/06/2021</v>
      </c>
      <c r="E1418" t="str">
        <f>""</f>
        <v/>
      </c>
      <c r="F1418" t="str">
        <f>""</f>
        <v/>
      </c>
      <c r="G1418" t="str">
        <f>"240.00"</f>
        <v>240.00</v>
      </c>
      <c r="H1418" t="str">
        <f>"Consorzio di bonifica Bacchiglione"</f>
        <v>Consorzio di bonifica Bacchiglione</v>
      </c>
      <c r="I1418" t="str">
        <f>"92223390284"</f>
        <v>92223390284</v>
      </c>
      <c r="J1418" t="str">
        <f>"23-AFFIDAMENTO DIRETTO"</f>
        <v>23-AFFIDAMENTO DIRETTO</v>
      </c>
      <c r="K1418" t="str">
        <f>"23/06/2021"</f>
        <v>23/06/2021</v>
      </c>
      <c r="L1418" t="str">
        <f>"07/09/2021"</f>
        <v>07/09/2021</v>
      </c>
      <c r="M1418" t="str">
        <f>""</f>
        <v/>
      </c>
      <c r="N1418" t="str">
        <f>"APPALTIAMO S.R.L.S."</f>
        <v>APPALTIAMO S.R.L.S.</v>
      </c>
      <c r="O1418" t="str">
        <f>"APPALTIAMO S.R.L.S."</f>
        <v>APPALTIAMO S.R.L.S.</v>
      </c>
      <c r="P1418" t="str">
        <f>"Z16323AAAB: [240.00€ ]"</f>
        <v>Z16323AAAB: [240.00€ ]</v>
      </c>
      <c r="Q1418" t="str">
        <f>""</f>
        <v/>
      </c>
      <c r="R1418" t="str">
        <f>""</f>
        <v/>
      </c>
      <c r="S1418" t="str">
        <f>""</f>
        <v/>
      </c>
      <c r="T1418" t="str">
        <f>"https://portaletrasparenza.consorziobacchiglione.it/dettagli/attodigara/6964/formazione-in-materia-di-appalti-pubblici-decreto-semplificazioni-77-2021.html"</f>
        <v>https://portaletrasparenza.consorziobacchiglione.it/dettagli/attodigara/6964/formazione-in-materia-di-appalti-pubblici-decreto-semplificazioni-77-2021.html</v>
      </c>
      <c r="U1418" t="str">
        <f>"https://portaletrasparenza.consorziobacchiglione.it/download/attodigara/6964/63ac459ed00a8.PDF"</f>
        <v>https://portaletrasparenza.consorziobacchiglione.it/download/attodigara/6964/63ac459ed00a8.PDF</v>
      </c>
      <c r="V141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19" spans="1:22" x14ac:dyDescent="0.3">
      <c r="A1419" t="str">
        <f>"Affidamento"</f>
        <v>Affidamento</v>
      </c>
      <c r="B1419" t="str">
        <f>"Corso di formazione in materia di sicurezza secondo Accordo Stato Regioni del 21/12/2011 per personale Consorziale."</f>
        <v>Corso di formazione in materia di sicurezza secondo Accordo Stato Regioni del 21/12/2011 per personale Consorziale.</v>
      </c>
      <c r="C1419" t="str">
        <f>"Z4C323A3A7"</f>
        <v>Z4C323A3A7</v>
      </c>
      <c r="D1419" t="str">
        <f>"23/06/2021"</f>
        <v>23/06/2021</v>
      </c>
      <c r="E1419" t="str">
        <f>""</f>
        <v/>
      </c>
      <c r="F1419" t="str">
        <f>""</f>
        <v/>
      </c>
      <c r="G1419" t="str">
        <f>"174.00"</f>
        <v>174.00</v>
      </c>
      <c r="H1419" t="str">
        <f>"Consorzio di bonifica Bacchiglione"</f>
        <v>Consorzio di bonifica Bacchiglione</v>
      </c>
      <c r="I1419" t="str">
        <f>"92223390284"</f>
        <v>92223390284</v>
      </c>
      <c r="J1419" t="str">
        <f>"23-AFFIDAMENTO DIRETTO"</f>
        <v>23-AFFIDAMENTO DIRETTO</v>
      </c>
      <c r="K1419" t="str">
        <f>"23/06/2021"</f>
        <v>23/06/2021</v>
      </c>
      <c r="L1419" t="str">
        <f>"31/12/2021"</f>
        <v>31/12/2021</v>
      </c>
      <c r="M1419" t="str">
        <f>""</f>
        <v/>
      </c>
      <c r="N1419" t="str">
        <f>"Cibola ing. Giulio Via Marsili 20, 35124 Padova"</f>
        <v>Cibola ing. Giulio Via Marsili 20, 35124 Padova</v>
      </c>
      <c r="O1419" t="str">
        <f>"Cibola ing. Giulio Via Marsili 20, 35124 Padova"</f>
        <v>Cibola ing. Giulio Via Marsili 20, 35124 Padova</v>
      </c>
      <c r="P1419" t="str">
        <f>"Z4C323A3A7: [140.32€ ]"</f>
        <v>Z4C323A3A7: [140.32€ ]</v>
      </c>
      <c r="Q1419" t="str">
        <f>""</f>
        <v/>
      </c>
      <c r="R1419" t="str">
        <f>""</f>
        <v/>
      </c>
      <c r="S1419" t="str">
        <f>""</f>
        <v/>
      </c>
      <c r="T1419" t="str">
        <f>"https://portaletrasparenza.consorziobacchiglione.it/dettagli/attodigara/6969/corso-di-formazione-in-materia-di-sicurezza-secondo-accordo-stato-regioni-del-21-12-2011-per-personale-consorziale.html"</f>
        <v>https://portaletrasparenza.consorziobacchiglione.it/dettagli/attodigara/6969/corso-di-formazione-in-materia-di-sicurezza-secondo-accordo-stato-regioni-del-21-12-2011-per-personale-consorziale.html</v>
      </c>
      <c r="U1419" t="str">
        <f>"https://portaletrasparenza.consorziobacchiglione.it/download/attodigara/6969/63ac459e97642.PDF"</f>
        <v>https://portaletrasparenza.consorziobacchiglione.it/download/attodigara/6969/63ac459e97642.PDF</v>
      </c>
      <c r="V1419">
        <f>(SUBSTITUTE(Tabella1[[#This Row],[Importo di aggiudicazione]],".",","))-(SUBSTITUTE(  SUBSTITUTE(          SUBSTITUTE(Tabella1[[#This Row],[Dettaglio somme liquidate]],Tabella1[[#This Row],[CIG]]&amp;": [",""),"€ ]",""),".",","))</f>
        <v>33.680000000000007</v>
      </c>
    </row>
    <row r="1420" spans="1:22" x14ac:dyDescent="0.3">
      <c r="A1420" t="str">
        <f>"Affidamento"</f>
        <v>Affidamento</v>
      </c>
      <c r="B1420" t="str">
        <f>"Fornitura cavo per alimemtazione quadri elettrici su sostegno e chiavica di scarico fitodepurazione presso Scolo delle Rose."</f>
        <v>Fornitura cavo per alimemtazione quadri elettrici su sostegno e chiavica di scarico fitodepurazione presso Scolo delle Rose.</v>
      </c>
      <c r="C1420" t="str">
        <f>"Z093292DFB"</f>
        <v>Z093292DFB</v>
      </c>
      <c r="D1420" t="str">
        <f>"23/07/2021"</f>
        <v>23/07/2021</v>
      </c>
      <c r="E1420" t="str">
        <f>""</f>
        <v/>
      </c>
      <c r="F1420" t="str">
        <f>""</f>
        <v/>
      </c>
      <c r="G1420" t="str">
        <f>"1701.71"</f>
        <v>1701.71</v>
      </c>
      <c r="H1420" t="str">
        <f>"Consorzio di bonifica Bacchiglione"</f>
        <v>Consorzio di bonifica Bacchiglione</v>
      </c>
      <c r="I1420" t="str">
        <f>"92223390284"</f>
        <v>92223390284</v>
      </c>
      <c r="J1420" t="str">
        <f>"23-AFFIDAMENTO DIRETTO"</f>
        <v>23-AFFIDAMENTO DIRETTO</v>
      </c>
      <c r="K1420" t="str">
        <f>"23/07/2021"</f>
        <v>23/07/2021</v>
      </c>
      <c r="L1420" t="str">
        <f>"31/07/2021"</f>
        <v>31/07/2021</v>
      </c>
      <c r="M1420" t="str">
        <f>""</f>
        <v/>
      </c>
      <c r="N1420" t="str">
        <f>"Elettroveneta S.p.A. Viale della Navigazione Interna, 48 - 35129 Padova (PD)"</f>
        <v>Elettroveneta S.p.A. Viale della Navigazione Interna, 48 - 35129 Padova (PD)</v>
      </c>
      <c r="O1420" t="str">
        <f>"Elettroveneta S.p.A. Viale della Navigazione Interna, 48 - 35129 Padova (PD)"</f>
        <v>Elettroveneta S.p.A. Viale della Navigazione Interna, 48 - 35129 Padova (PD)</v>
      </c>
      <c r="P1420" t="str">
        <f>"Z093292DFB: [1541.38€ ]"</f>
        <v>Z093292DFB: [1541.38€ ]</v>
      </c>
      <c r="Q1420" t="str">
        <f>""</f>
        <v/>
      </c>
      <c r="R1420" t="str">
        <f>""</f>
        <v/>
      </c>
      <c r="S1420" t="str">
        <f>""</f>
        <v/>
      </c>
      <c r="T1420" t="str">
        <f>"https://portaletrasparenza.consorziobacchiglione.it/dettagli/attodigara/7019/fornitura-cavo-per-alimemtazione-quadri-elettrici-su-sostegno-e-chiavica-di-scarico-fitodepurazione-presso-scolo-delle-rose.html"</f>
        <v>https://portaletrasparenza.consorziobacchiglione.it/dettagli/attodigara/7019/fornitura-cavo-per-alimemtazione-quadri-elettrici-su-sostegno-e-chiavica-di-scarico-fitodepurazione-presso-scolo-delle-rose.html</v>
      </c>
      <c r="U1420" t="str">
        <f>"https://portaletrasparenza.consorziobacchiglione.it/download/attodigara/7019/63ac45a98f877.PDF"</f>
        <v>https://portaletrasparenza.consorziobacchiglione.it/download/attodigara/7019/63ac45a98f877.PDF</v>
      </c>
      <c r="V1420">
        <f>(SUBSTITUTE(Tabella1[[#This Row],[Importo di aggiudicazione]],".",","))-(SUBSTITUTE(  SUBSTITUTE(          SUBSTITUTE(Tabella1[[#This Row],[Dettaglio somme liquidate]],Tabella1[[#This Row],[CIG]]&amp;": [",""),"€ ]",""),".",","))</f>
        <v>160.32999999999993</v>
      </c>
    </row>
    <row r="1421" spans="1:22" x14ac:dyDescent="0.3">
      <c r="A1421" t="str">
        <f>"Affidamento"</f>
        <v>Affidamento</v>
      </c>
      <c r="B1421" t="str">
        <f>"Forniture ricambi per decespugliatore."</f>
        <v>Forniture ricambi per decespugliatore.</v>
      </c>
      <c r="C1421" t="str">
        <f>"Z3C1AF80FF"</f>
        <v>Z3C1AF80FF</v>
      </c>
      <c r="D1421" t="str">
        <f>"04/11/2021"</f>
        <v>04/11/2021</v>
      </c>
      <c r="E1421" t="str">
        <f>""</f>
        <v/>
      </c>
      <c r="F1421" t="str">
        <f>""</f>
        <v/>
      </c>
      <c r="G1421" t="str">
        <f>"279.00"</f>
        <v>279.00</v>
      </c>
      <c r="H1421" t="str">
        <f>"Consorzio di bonifica Bacchiglione"</f>
        <v>Consorzio di bonifica Bacchiglione</v>
      </c>
      <c r="I1421" t="str">
        <f>"92223390284"</f>
        <v>92223390284</v>
      </c>
      <c r="J1421" t="str">
        <f>"23-AFFIDAMENTO DIRETTO"</f>
        <v>23-AFFIDAMENTO DIRETTO</v>
      </c>
      <c r="K1421" t="str">
        <f>"23/08/2021"</f>
        <v>23/08/2021</v>
      </c>
      <c r="L1421" t="str">
        <f>"27/10/2021"</f>
        <v>27/10/2021</v>
      </c>
      <c r="M1421" t="str">
        <f>""</f>
        <v/>
      </c>
      <c r="N1421" t="str">
        <f>"Eredi di Stivanello Sergio S.a.s. Via Padova 156 35025 Cartura PD"</f>
        <v>Eredi di Stivanello Sergio S.a.s. Via Padova 156 35025 Cartura PD</v>
      </c>
      <c r="O1421" t="str">
        <f>"Eredi di Stivanello Sergio S.a.s. Via Padova 156 35025 Cartura PD"</f>
        <v>Eredi di Stivanello Sergio S.a.s. Via Padova 156 35025 Cartura PD</v>
      </c>
      <c r="P1421" t="str">
        <f>"Z3C1AF80FF: [279.00€ ]"</f>
        <v>Z3C1AF80FF: [279.00€ ]</v>
      </c>
      <c r="Q1421" t="str">
        <f>""</f>
        <v/>
      </c>
      <c r="R1421" t="str">
        <f>""</f>
        <v/>
      </c>
      <c r="S1421" t="str">
        <f>""</f>
        <v/>
      </c>
      <c r="T1421" t="str">
        <f>"https://portaletrasparenza.consorziobacchiglione.it/dettagli/attodigara/687/forniture-ricambi-per-decespugliatore.html"</f>
        <v>https://portaletrasparenza.consorziobacchiglione.it/dettagli/attodigara/687/forniture-ricambi-per-decespugliatore.html</v>
      </c>
      <c r="U1421" t="str">
        <f>""</f>
        <v/>
      </c>
      <c r="V14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22" spans="1:22" x14ac:dyDescent="0.3">
      <c r="A1422" t="str">
        <f>"Affidamento"</f>
        <v>Affidamento</v>
      </c>
      <c r="B1422" t="str">
        <f>"Noleggio piattaforma a ragno per lavori su Idrovora Cambroso e S.Margherita."</f>
        <v>Noleggio piattaforma a ragno per lavori su Idrovora Cambroso e S.Margherita.</v>
      </c>
      <c r="C1422" t="str">
        <f>"ZDA1AF69E4"</f>
        <v>ZDA1AF69E4</v>
      </c>
      <c r="D1422" t="str">
        <f>"04/11/2021"</f>
        <v>04/11/2021</v>
      </c>
      <c r="E1422" t="str">
        <f>""</f>
        <v/>
      </c>
      <c r="F1422" t="str">
        <f>""</f>
        <v/>
      </c>
      <c r="G1422" t="str">
        <f>"450.00"</f>
        <v>450.00</v>
      </c>
      <c r="H1422" t="str">
        <f>"Consorzio di bonifica Bacchiglione"</f>
        <v>Consorzio di bonifica Bacchiglione</v>
      </c>
      <c r="I1422" t="str">
        <f>"92223390284"</f>
        <v>92223390284</v>
      </c>
      <c r="J1422" t="str">
        <f>"23-AFFIDAMENTO DIRETTO"</f>
        <v>23-AFFIDAMENTO DIRETTO</v>
      </c>
      <c r="K1422" t="str">
        <f>"23/08/2021"</f>
        <v>23/08/2021</v>
      </c>
      <c r="L1422" t="str">
        <f>"29/09/2021"</f>
        <v>29/09/2021</v>
      </c>
      <c r="M1422" t="str">
        <f>""</f>
        <v/>
      </c>
      <c r="N1422" t="str">
        <f>"Nolo Piovese s.r.l. Via Padana 34 35020 S. Angelo di Piove PD"</f>
        <v>Nolo Piovese s.r.l. Via Padana 34 35020 S. Angelo di Piove PD</v>
      </c>
      <c r="O1422" t="str">
        <f>"Nolo Piovese s.r.l. Via Padana 34 35020 S. Angelo di Piove PD"</f>
        <v>Nolo Piovese s.r.l. Via Padana 34 35020 S. Angelo di Piove PD</v>
      </c>
      <c r="P1422" t="str">
        <f>"ZDA1AF69E4: [450.00€ ]"</f>
        <v>ZDA1AF69E4: [450.00€ ]</v>
      </c>
      <c r="Q1422" t="str">
        <f>""</f>
        <v/>
      </c>
      <c r="R1422" t="str">
        <f>""</f>
        <v/>
      </c>
      <c r="S1422" t="str">
        <f>""</f>
        <v/>
      </c>
      <c r="T1422" t="str">
        <f>"https://portaletrasparenza.consorziobacchiglione.it/dettagli/attodigara/686/noleggio-piattaforma-a-ragno-per-lavori-su-idrovora-cambroso-e-s-margherita.html"</f>
        <v>https://portaletrasparenza.consorziobacchiglione.it/dettagli/attodigara/686/noleggio-piattaforma-a-ragno-per-lavori-su-idrovora-cambroso-e-s-margherita.html</v>
      </c>
      <c r="U1422" t="str">
        <f>""</f>
        <v/>
      </c>
      <c r="V14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23" spans="1:22" x14ac:dyDescent="0.3">
      <c r="A1423" t="str">
        <f>"Affidamento"</f>
        <v>Affidamento</v>
      </c>
      <c r="B1423" t="str">
        <f>"Riparazione e manutenzione mezzo con targa: AGK711"</f>
        <v>Riparazione e manutenzione mezzo con targa: AGK711</v>
      </c>
      <c r="C1423" t="str">
        <f>"Z8F1AF6949"</f>
        <v>Z8F1AF6949</v>
      </c>
      <c r="D1423" t="str">
        <f>"04/11/2021"</f>
        <v>04/11/2021</v>
      </c>
      <c r="E1423" t="str">
        <f>""</f>
        <v/>
      </c>
      <c r="F1423" t="str">
        <f>""</f>
        <v/>
      </c>
      <c r="G1423" t="str">
        <f>"1836.34"</f>
        <v>1836.34</v>
      </c>
      <c r="H1423" t="str">
        <f>"Consorzio di bonifica Bacchiglione"</f>
        <v>Consorzio di bonifica Bacchiglione</v>
      </c>
      <c r="I1423" t="str">
        <f>"92223390284"</f>
        <v>92223390284</v>
      </c>
      <c r="J1423" t="str">
        <f>"23-AFFIDAMENTO DIRETTO"</f>
        <v>23-AFFIDAMENTO DIRETTO</v>
      </c>
      <c r="K1423" t="str">
        <f>"23/08/2021"</f>
        <v>23/08/2021</v>
      </c>
      <c r="L1423" t="str">
        <f>"04/01/2021"</f>
        <v>04/01/2021</v>
      </c>
      <c r="M1423" t="str">
        <f>""</f>
        <v/>
      </c>
      <c r="N1423" t="str">
        <f>"Adriatica Commerciale Macchine s.r.l. Via dell'Artigianato 5 35020 Due Carrare PD"</f>
        <v>Adriatica Commerciale Macchine s.r.l. Via dell'Artigianato 5 35020 Due Carrare PD</v>
      </c>
      <c r="O1423" t="str">
        <f>"Adriatica Commerciale Macchine s.r.l. Via dell'Artigianato 5 35020 Due Carrare PD"</f>
        <v>Adriatica Commerciale Macchine s.r.l. Via dell'Artigianato 5 35020 Due Carrare PD</v>
      </c>
      <c r="P1423" t="str">
        <f>"Z8F1AF6949: [1836.34€ ]"</f>
        <v>Z8F1AF6949: [1836.34€ ]</v>
      </c>
      <c r="Q1423" t="str">
        <f>""</f>
        <v/>
      </c>
      <c r="R1423" t="str">
        <f>""</f>
        <v/>
      </c>
      <c r="S1423" t="str">
        <f>""</f>
        <v/>
      </c>
      <c r="T1423" t="str">
        <f>"https://portaletrasparenza.consorziobacchiglione.it/dettagli/attodigara/685/riparazione-e-manutenzione-mezzo-con-targa-agk711.html"</f>
        <v>https://portaletrasparenza.consorziobacchiglione.it/dettagli/attodigara/685/riparazione-e-manutenzione-mezzo-con-targa-agk711.html</v>
      </c>
      <c r="U1423" t="str">
        <f>""</f>
        <v/>
      </c>
      <c r="V14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24" spans="1:22" x14ac:dyDescent="0.3">
      <c r="A1424" t="str">
        <f>"Affidamento"</f>
        <v>Affidamento</v>
      </c>
      <c r="B1424" t="str">
        <f>"Riparazione pneumatico su mezzo con targa : AW930NS"</f>
        <v>Riparazione pneumatico su mezzo con targa : AW930NS</v>
      </c>
      <c r="C1424" t="str">
        <f>"ZD81AF685F"</f>
        <v>ZD81AF685F</v>
      </c>
      <c r="D1424" t="str">
        <f>"04/11/2021"</f>
        <v>04/11/2021</v>
      </c>
      <c r="E1424" t="str">
        <f>""</f>
        <v/>
      </c>
      <c r="F1424" t="str">
        <f>""</f>
        <v/>
      </c>
      <c r="G1424" t="str">
        <f>"20.00"</f>
        <v>20.00</v>
      </c>
      <c r="H1424" t="str">
        <f>"Consorzio di bonifica Bacchiglione"</f>
        <v>Consorzio di bonifica Bacchiglione</v>
      </c>
      <c r="I1424" t="str">
        <f>"92223390284"</f>
        <v>92223390284</v>
      </c>
      <c r="J1424" t="str">
        <f>"23-AFFIDAMENTO DIRETTO"</f>
        <v>23-AFFIDAMENTO DIRETTO</v>
      </c>
      <c r="K1424" t="str">
        <f>"23/08/2021"</f>
        <v>23/08/2021</v>
      </c>
      <c r="L1424" t="str">
        <f>"29/09/2021"</f>
        <v>29/09/2021</v>
      </c>
      <c r="M1424" t="str">
        <f>""</f>
        <v/>
      </c>
      <c r="N1424" t="str">
        <f>"Giacobazzi Gomme Corso Terme 27 35036 Montegrotto Terme PD"</f>
        <v>Giacobazzi Gomme Corso Terme 27 35036 Montegrotto Terme PD</v>
      </c>
      <c r="O1424" t="str">
        <f>"Giacobazzi Gomme Corso Terme 27 35036 Montegrotto Terme PD"</f>
        <v>Giacobazzi Gomme Corso Terme 27 35036 Montegrotto Terme PD</v>
      </c>
      <c r="P1424" t="str">
        <f>"ZD81AF685F: [20.00€ ]"</f>
        <v>ZD81AF685F: [20.00€ ]</v>
      </c>
      <c r="Q1424" t="str">
        <f>""</f>
        <v/>
      </c>
      <c r="R1424" t="str">
        <f>""</f>
        <v/>
      </c>
      <c r="S1424" t="str">
        <f>""</f>
        <v/>
      </c>
      <c r="T1424" t="str">
        <f>"https://portaletrasparenza.consorziobacchiglione.it/dettagli/attodigara/683/riparazione-pneumatico-su-mezzo-con-targa-aw930ns.html"</f>
        <v>https://portaletrasparenza.consorziobacchiglione.it/dettagli/attodigara/683/riparazione-pneumatico-su-mezzo-con-targa-aw930ns.html</v>
      </c>
      <c r="U1424" t="str">
        <f>""</f>
        <v/>
      </c>
      <c r="V14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25" spans="1:22" x14ac:dyDescent="0.3">
      <c r="A1425" t="str">
        <f>"Affidamento"</f>
        <v>Affidamento</v>
      </c>
      <c r="B1425" t="str">
        <f>"Fornitura e posa di grigliati pedonali classe 1 in Acciaio S235JR zincato a caldo, bordati, maglia 15x77 piatto portante e piatto bordo 50x2 mm per il completamento delle coperture delle tubazioni di scarico lato impiant"</f>
        <v>Fornitura e posa di grigliati pedonali classe 1 in Acciaio S235JR zincato a caldo, bordati, maglia 15x77 piatto portante e piatto bordo 50x2 mm per il completamento delle coperture delle tubazioni di scarico lato impiant</v>
      </c>
      <c r="C1425" t="str">
        <f>"Z841AF6652"</f>
        <v>Z841AF6652</v>
      </c>
      <c r="D1425" t="str">
        <f>"04/11/2021"</f>
        <v>04/11/2021</v>
      </c>
      <c r="E1425" t="str">
        <f>""</f>
        <v/>
      </c>
      <c r="F1425" t="str">
        <f>""</f>
        <v/>
      </c>
      <c r="G1425" t="str">
        <f>"13904.00"</f>
        <v>13904.00</v>
      </c>
      <c r="H1425" t="str">
        <f>"Consorzio di bonifica Bacchiglione"</f>
        <v>Consorzio di bonifica Bacchiglione</v>
      </c>
      <c r="I1425" t="str">
        <f>"92223390284"</f>
        <v>92223390284</v>
      </c>
      <c r="J1425" t="str">
        <f>"23-AFFIDAMENTO DIRETTO"</f>
        <v>23-AFFIDAMENTO DIRETTO</v>
      </c>
      <c r="K1425" t="str">
        <f>"23/08/2021"</f>
        <v>23/08/2021</v>
      </c>
      <c r="L1425" t="str">
        <f>"19/12/2021"</f>
        <v>19/12/2021</v>
      </c>
      <c r="M1425" t="str">
        <f>""</f>
        <v/>
      </c>
      <c r="N1425" t="str">
        <f>"GPG S.r.l. | Fer Tre Srl"</f>
        <v>GPG S.r.l. | Fer Tre Srl</v>
      </c>
      <c r="O1425" t="str">
        <f>"Fer Tre Srl"</f>
        <v>Fer Tre Srl</v>
      </c>
      <c r="P1425" t="str">
        <f>"Z841AF6652: [13904.00€ ]"</f>
        <v>Z841AF6652: [13904.00€ ]</v>
      </c>
      <c r="Q1425" t="str">
        <f>""</f>
        <v/>
      </c>
      <c r="R1425" t="str">
        <f>""</f>
        <v/>
      </c>
      <c r="S1425" t="str">
        <f>""</f>
        <v/>
      </c>
      <c r="T1425" t="s">
        <v>40</v>
      </c>
      <c r="U1425" t="str">
        <f>""</f>
        <v/>
      </c>
      <c r="V14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26" spans="1:22" x14ac:dyDescent="0.3">
      <c r="A1426" t="str">
        <f>"Affidamento"</f>
        <v>Affidamento</v>
      </c>
      <c r="B1426" t="str">
        <f>"Fornitura materiale di ferramenta per C.O.S.Margherita."</f>
        <v>Fornitura materiale di ferramenta per C.O.S.Margherita.</v>
      </c>
      <c r="C1426" t="str">
        <f>"Z2B1AF68CE"</f>
        <v>Z2B1AF68CE</v>
      </c>
      <c r="D1426" t="str">
        <f>"04/11/2021"</f>
        <v>04/11/2021</v>
      </c>
      <c r="E1426" t="str">
        <f>""</f>
        <v/>
      </c>
      <c r="F1426" t="str">
        <f>""</f>
        <v/>
      </c>
      <c r="G1426" t="str">
        <f>"849.91"</f>
        <v>849.91</v>
      </c>
      <c r="H1426" t="str">
        <f>"Consorzio di bonifica Bacchiglione"</f>
        <v>Consorzio di bonifica Bacchiglione</v>
      </c>
      <c r="I1426" t="str">
        <f>"92223390284"</f>
        <v>92223390284</v>
      </c>
      <c r="J1426" t="str">
        <f>"23-AFFIDAMENTO DIRETTO"</f>
        <v>23-AFFIDAMENTO DIRETTO</v>
      </c>
      <c r="K1426" t="str">
        <f>"23/08/2021"</f>
        <v>23/08/2021</v>
      </c>
      <c r="L1426" t="str">
        <f>"27/10/2021"</f>
        <v>27/10/2021</v>
      </c>
      <c r="M1426" t="str">
        <f>""</f>
        <v/>
      </c>
      <c r="N1426" t="str">
        <f>"Gollo Giovanni Via Vallona 65 35020 Conche di Codevigo PD"</f>
        <v>Gollo Giovanni Via Vallona 65 35020 Conche di Codevigo PD</v>
      </c>
      <c r="O1426" t="str">
        <f>"Gollo Giovanni Via Vallona 65 35020 Conche di Codevigo PD"</f>
        <v>Gollo Giovanni Via Vallona 65 35020 Conche di Codevigo PD</v>
      </c>
      <c r="P1426" t="str">
        <f>"Z2B1AF68CE: [773.10€ ]"</f>
        <v>Z2B1AF68CE: [773.10€ ]</v>
      </c>
      <c r="Q1426" t="str">
        <f>""</f>
        <v/>
      </c>
      <c r="R1426" t="str">
        <f>""</f>
        <v/>
      </c>
      <c r="S1426" t="str">
        <f>""</f>
        <v/>
      </c>
      <c r="T1426" t="str">
        <f>"https://portaletrasparenza.consorziobacchiglione.it/dettagli/attodigara/684/fornitura-materiale-di-ferramenta-per-c-o-s-margherita.html"</f>
        <v>https://portaletrasparenza.consorziobacchiglione.it/dettagli/attodigara/684/fornitura-materiale-di-ferramenta-per-c-o-s-margherita.html</v>
      </c>
      <c r="U1426" t="str">
        <f>""</f>
        <v/>
      </c>
      <c r="V1426">
        <f>(SUBSTITUTE(Tabella1[[#This Row],[Importo di aggiudicazione]],".",","))-(SUBSTITUTE(  SUBSTITUTE(          SUBSTITUTE(Tabella1[[#This Row],[Dettaglio somme liquidate]],Tabella1[[#This Row],[CIG]]&amp;": [",""),"€ ]",""),".",","))</f>
        <v>76.809999999999945</v>
      </c>
    </row>
    <row r="1427" spans="1:22" x14ac:dyDescent="0.3">
      <c r="A1427" t="str">
        <f>"Affidamento"</f>
        <v>Affidamento</v>
      </c>
      <c r="B1427" t="str">
        <f>"Fornitura stabilizzato per creazione dosso a seguito della posa delle pompe di emergenza in dotazione al Consorzio su Impianto Irriguo 2° Bacino, per rottura di una pompa all'interno dell'impianto stesso"</f>
        <v>Fornitura stabilizzato per creazione dosso a seguito della posa delle pompe di emergenza in dotazione al Consorzio su Impianto Irriguo 2° Bacino, per rottura di una pompa all'interno dell'impianto stesso</v>
      </c>
      <c r="C1427" t="str">
        <f>"Z9232CE5AF"</f>
        <v>Z9232CE5AF</v>
      </c>
      <c r="D1427" t="str">
        <f>"23/08/2021"</f>
        <v>23/08/2021</v>
      </c>
      <c r="E1427" t="str">
        <f>""</f>
        <v/>
      </c>
      <c r="F1427" t="str">
        <f>""</f>
        <v/>
      </c>
      <c r="G1427" t="str">
        <f>"406.00"</f>
        <v>406.00</v>
      </c>
      <c r="H1427" t="str">
        <f>"Consorzio di bonifica Bacchiglione"</f>
        <v>Consorzio di bonifica Bacchiglione</v>
      </c>
      <c r="I1427" t="str">
        <f>"92223390284"</f>
        <v>92223390284</v>
      </c>
      <c r="J1427" t="str">
        <f>"23-AFFIDAMENTO DIRETTO"</f>
        <v>23-AFFIDAMENTO DIRETTO</v>
      </c>
      <c r="K1427" t="str">
        <f>"23/08/2021"</f>
        <v>23/08/2021</v>
      </c>
      <c r="L1427" t="str">
        <f>"31/08/2021"</f>
        <v>31/08/2021</v>
      </c>
      <c r="M1427" t="str">
        <f>""</f>
        <v/>
      </c>
      <c r="N1427" t="str">
        <f>"Trovò s.r.l. Via Idrovora, 3 - 35020 Codevigo (PD)"</f>
        <v>Trovò s.r.l. Via Idrovora, 3 - 35020 Codevigo (PD)</v>
      </c>
      <c r="O1427" t="str">
        <f>"Trovò s.r.l. Via Idrovora, 3 - 35020 Codevigo (PD)"</f>
        <v>Trovò s.r.l. Via Idrovora, 3 - 35020 Codevigo (PD)</v>
      </c>
      <c r="P1427" t="str">
        <f>"Z9232CE5AF: [406.00€ ]"</f>
        <v>Z9232CE5AF: [406.00€ ]</v>
      </c>
      <c r="Q1427" t="str">
        <f>""</f>
        <v/>
      </c>
      <c r="R1427" t="str">
        <f>""</f>
        <v/>
      </c>
      <c r="S1427" t="str">
        <f>""</f>
        <v/>
      </c>
      <c r="T1427" t="s">
        <v>87</v>
      </c>
      <c r="U1427" t="str">
        <f>"https://portaletrasparenza.consorziobacchiglione.it/download/attodigara/7081/63ac45b835e06.PDF"</f>
        <v>https://portaletrasparenza.consorziobacchiglione.it/download/attodigara/7081/63ac45b835e06.PDF</v>
      </c>
      <c r="V142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28" spans="1:22" x14ac:dyDescent="0.3">
      <c r="A1428" t="str">
        <f>"Affidamento"</f>
        <v>Affidamento</v>
      </c>
      <c r="B1428" t="str">
        <f>"Affidamento incarico di Coordinatore per la Sicurezza in fase Esecutiva ed adeguamento compenso CSP relativamente alla realizzazione del nuovo ponte di Via Idrovora in località S. Margherita di Codevigo (PD) - Processo I"</f>
        <v>Affidamento incarico di Coordinatore per la Sicurezza in fase Esecutiva ed adeguamento compenso CSP relativamente alla realizzazione del nuovo ponte di Via Idrovora in località S. Margherita di Codevigo (PD) - Processo I</v>
      </c>
      <c r="C1428" t="str">
        <f>"ZAE32CF9FA"</f>
        <v>ZAE32CF9FA</v>
      </c>
      <c r="D1428" t="str">
        <f>"25/08/2021"</f>
        <v>25/08/2021</v>
      </c>
      <c r="E1428" t="str">
        <f>""</f>
        <v/>
      </c>
      <c r="F1428" t="str">
        <f>""</f>
        <v/>
      </c>
      <c r="G1428" t="str">
        <f>"6321.00"</f>
        <v>6321.00</v>
      </c>
      <c r="H1428" t="str">
        <f>"Consorzio di bonifica Bacchiglione"</f>
        <v>Consorzio di bonifica Bacchiglione</v>
      </c>
      <c r="I1428" t="str">
        <f>"92223390284"</f>
        <v>92223390284</v>
      </c>
      <c r="J1428" t="str">
        <f>"23-AFFIDAMENTO DIRETTO"</f>
        <v>23-AFFIDAMENTO DIRETTO</v>
      </c>
      <c r="K1428" t="str">
        <f>"23/08/2021"</f>
        <v>23/08/2021</v>
      </c>
      <c r="L1428" t="str">
        <f>"26/01/2023"</f>
        <v>26/01/2023</v>
      </c>
      <c r="M1428" t="str">
        <f>""</f>
        <v/>
      </c>
      <c r="N1428" t="str">
        <f>"Studio Tecnico Geometra Gabriele Maragotto"</f>
        <v>Studio Tecnico Geometra Gabriele Maragotto</v>
      </c>
      <c r="O1428" t="str">
        <f>"Studio Tecnico Geometra Gabriele Maragotto"</f>
        <v>Studio Tecnico Geometra Gabriele Maragotto</v>
      </c>
      <c r="P1428" t="s">
        <v>260</v>
      </c>
      <c r="Q1428" t="str">
        <f>""</f>
        <v/>
      </c>
      <c r="R1428" t="str">
        <f>""</f>
        <v/>
      </c>
      <c r="S1428" t="str">
        <f>""</f>
        <v/>
      </c>
      <c r="T1428" t="s">
        <v>86</v>
      </c>
      <c r="U1428" t="str">
        <f>"https://portaletrasparenza.consorziobacchiglione.it/download/attodigara/7080/63e646e34a8d9.PDF"</f>
        <v>https://portaletrasparenza.consorziobacchiglione.it/download/attodigara/7080/63e646e34a8d9.PDF</v>
      </c>
      <c r="V14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29" spans="1:22" x14ac:dyDescent="0.3">
      <c r="A1429" t="str">
        <f>"Affidamento"</f>
        <v>Affidamento</v>
      </c>
      <c r="B1429" t="str">
        <f>"Affidamento fornitura cartellini marcatempo."</f>
        <v>Affidamento fornitura cartellini marcatempo.</v>
      </c>
      <c r="C1429" t="str">
        <f>"Z861B4DEF8"</f>
        <v>Z861B4DEF8</v>
      </c>
      <c r="D1429" t="str">
        <f>"04/11/2021"</f>
        <v>04/11/2021</v>
      </c>
      <c r="E1429" t="str">
        <f>""</f>
        <v/>
      </c>
      <c r="F1429" t="str">
        <f>""</f>
        <v/>
      </c>
      <c r="G1429" t="str">
        <f>"55.00"</f>
        <v>55.00</v>
      </c>
      <c r="H1429" t="str">
        <f>"Consorzio di bonifica Bacchiglione"</f>
        <v>Consorzio di bonifica Bacchiglione</v>
      </c>
      <c r="I1429" t="str">
        <f>"92223390284"</f>
        <v>92223390284</v>
      </c>
      <c r="J1429" t="str">
        <f>"23-AFFIDAMENTO DIRETTO"</f>
        <v>23-AFFIDAMENTO DIRETTO</v>
      </c>
      <c r="K1429" t="str">
        <f>"23/09/2021"</f>
        <v>23/09/2021</v>
      </c>
      <c r="L1429" t="str">
        <f>"09/12/2021"</f>
        <v>09/12/2021</v>
      </c>
      <c r="M1429" t="str">
        <f>""</f>
        <v/>
      </c>
      <c r="N1429" t="str">
        <f>"HUNEXT SOFTWARE S.R.L."</f>
        <v>HUNEXT SOFTWARE S.R.L.</v>
      </c>
      <c r="O1429" t="str">
        <f>"HUNEXT SOFTWARE S.R.L."</f>
        <v>HUNEXT SOFTWARE S.R.L.</v>
      </c>
      <c r="P1429" t="str">
        <f>"Z861B4DEF8: [55.00€ ]"</f>
        <v>Z861B4DEF8: [55.00€ ]</v>
      </c>
      <c r="Q1429" t="str">
        <f>""</f>
        <v/>
      </c>
      <c r="R1429" t="str">
        <f>""</f>
        <v/>
      </c>
      <c r="S1429" t="str">
        <f>""</f>
        <v/>
      </c>
      <c r="T1429" t="str">
        <f>"https://portaletrasparenza.consorziobacchiglione.it/dettagli/attodigara/766/affidamento-fornitura-cartellini-marcatempo.html"</f>
        <v>https://portaletrasparenza.consorziobacchiglione.it/dettagli/attodigara/766/affidamento-fornitura-cartellini-marcatempo.html</v>
      </c>
      <c r="U1429" t="str">
        <f>""</f>
        <v/>
      </c>
      <c r="V14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30" spans="1:22" x14ac:dyDescent="0.3">
      <c r="A1430" t="str">
        <f>"Affidamento"</f>
        <v>Affidamento</v>
      </c>
      <c r="B1430" t="str">
        <f>"Affidamento servizio monte ore a scalare per attivazione nuovo sistema di rilevazione delle presenze."</f>
        <v>Affidamento servizio monte ore a scalare per attivazione nuovo sistema di rilevazione delle presenze.</v>
      </c>
      <c r="C1430" t="str">
        <f>"ZE41B4D9E9"</f>
        <v>ZE41B4D9E9</v>
      </c>
      <c r="D1430" t="str">
        <f>"04/11/2021"</f>
        <v>04/11/2021</v>
      </c>
      <c r="E1430" t="str">
        <f>""</f>
        <v/>
      </c>
      <c r="F1430" t="str">
        <f>""</f>
        <v/>
      </c>
      <c r="G1430" t="str">
        <f>"1240.00"</f>
        <v>1240.00</v>
      </c>
      <c r="H1430" t="str">
        <f>"Consorzio di bonifica Bacchiglione"</f>
        <v>Consorzio di bonifica Bacchiglione</v>
      </c>
      <c r="I1430" t="str">
        <f>"92223390284"</f>
        <v>92223390284</v>
      </c>
      <c r="J1430" t="str">
        <f>"23-AFFIDAMENTO DIRETTO"</f>
        <v>23-AFFIDAMENTO DIRETTO</v>
      </c>
      <c r="K1430" t="str">
        <f>"23/09/2021"</f>
        <v>23/09/2021</v>
      </c>
      <c r="L1430" t="str">
        <f>"23/01/2021"</f>
        <v>23/01/2021</v>
      </c>
      <c r="M1430" t="str">
        <f>""</f>
        <v/>
      </c>
      <c r="N1430" t="str">
        <f>"HUNEXT SOFTWARE S.R.L."</f>
        <v>HUNEXT SOFTWARE S.R.L.</v>
      </c>
      <c r="O1430" t="str">
        <f>"HUNEXT SOFTWARE S.R.L."</f>
        <v>HUNEXT SOFTWARE S.R.L.</v>
      </c>
      <c r="P1430" t="str">
        <f>"ZE41B4D9E9: [1240.00€ ]"</f>
        <v>ZE41B4D9E9: [1240.00€ ]</v>
      </c>
      <c r="Q1430" t="str">
        <f>""</f>
        <v/>
      </c>
      <c r="R1430" t="str">
        <f>""</f>
        <v/>
      </c>
      <c r="S1430" t="str">
        <f>""</f>
        <v/>
      </c>
      <c r="T1430" t="str">
        <f>"https://portaletrasparenza.consorziobacchiglione.it/dettagli/attodigara/765/affidamento-servizio-monte-ore-a-scalare-per-attivazione-nuovo-sistema-di-rilevazione-delle-presenze.html"</f>
        <v>https://portaletrasparenza.consorziobacchiglione.it/dettagli/attodigara/765/affidamento-servizio-monte-ore-a-scalare-per-attivazione-nuovo-sistema-di-rilevazione-delle-presenze.html</v>
      </c>
      <c r="U1430" t="str">
        <f>""</f>
        <v/>
      </c>
      <c r="V14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31" spans="1:22" x14ac:dyDescent="0.3">
      <c r="A1431" t="str">
        <f>"Affidamento"</f>
        <v>Affidamento</v>
      </c>
      <c r="B1431" t="str">
        <f>"Manutenzione e riparazione mezzo con targa: AHH573, Motobarca Dragoni n.8"</f>
        <v>Manutenzione e riparazione mezzo con targa: AHH573, Motobarca Dragoni n.8</v>
      </c>
      <c r="C1431" t="str">
        <f>"Z5F332B7FA"</f>
        <v>Z5F332B7FA</v>
      </c>
      <c r="D1431" t="str">
        <f>"24/09/2021"</f>
        <v>24/09/2021</v>
      </c>
      <c r="E1431" t="str">
        <f>""</f>
        <v/>
      </c>
      <c r="F1431" t="str">
        <f>""</f>
        <v/>
      </c>
      <c r="G1431" t="str">
        <f>"651.25"</f>
        <v>651.25</v>
      </c>
      <c r="H1431" t="str">
        <f>"Consorzio di bonifica Bacchiglione"</f>
        <v>Consorzio di bonifica Bacchiglione</v>
      </c>
      <c r="I1431" t="str">
        <f>"92223390284"</f>
        <v>92223390284</v>
      </c>
      <c r="J1431" t="str">
        <f>"23-AFFIDAMENTO DIRETTO"</f>
        <v>23-AFFIDAMENTO DIRETTO</v>
      </c>
      <c r="K1431" t="str">
        <f>"23/09/2021"</f>
        <v>23/09/2021</v>
      </c>
      <c r="L1431" t="str">
        <f>"30/09/2021"</f>
        <v>30/09/2021</v>
      </c>
      <c r="M1431" t="str">
        <f>""</f>
        <v/>
      </c>
      <c r="N1431" t="str">
        <f>"Negrisolo Officina Meccanica s.a.s. V.le delle Industrie II° strada 13 35025 Cagnola di Cartura PD"</f>
        <v>Negrisolo Officina Meccanica s.a.s. V.le delle Industrie II° strada 13 35025 Cagnola di Cartura PD</v>
      </c>
      <c r="O1431" t="str">
        <f>"Negrisolo Officina Meccanica s.a.s. V.le delle Industrie II° strada 13 35025 Cagnola di Cartura PD"</f>
        <v>Negrisolo Officina Meccanica s.a.s. V.le delle Industrie II° strada 13 35025 Cagnola di Cartura PD</v>
      </c>
      <c r="P1431" t="s">
        <v>255</v>
      </c>
      <c r="Q1431" t="str">
        <f>""</f>
        <v/>
      </c>
      <c r="R1431" t="str">
        <f>""</f>
        <v/>
      </c>
      <c r="S1431" t="str">
        <f>""</f>
        <v/>
      </c>
      <c r="T1431" t="str">
        <f>"https://portaletrasparenza.consorziobacchiglione.it/dettagli/attodigara/7163/manutenzione-e-riparazione-mezzo-con-targa-ahh573-motobarca-dragoni-n-8.html"</f>
        <v>https://portaletrasparenza.consorziobacchiglione.it/dettagli/attodigara/7163/manutenzione-e-riparazione-mezzo-con-targa-ahh573-motobarca-dragoni-n-8.html</v>
      </c>
      <c r="U1431" t="str">
        <f>"https://portaletrasparenza.consorziobacchiglione.it/download/attodigara/7163/63ac45cd4c54a.PDF"</f>
        <v>https://portaletrasparenza.consorziobacchiglione.it/download/attodigara/7163/63ac45cd4c54a.PDF</v>
      </c>
      <c r="V14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32" spans="1:22" x14ac:dyDescent="0.3">
      <c r="A1432" t="str">
        <f>"Affidamento"</f>
        <v>Affidamento</v>
      </c>
      <c r="B1432" t="str">
        <f>"Fornitura di n.1 avvitatore con percussione Hikoki Mod.DV 18DBSL per C.O.S.Margherita"</f>
        <v>Fornitura di n.1 avvitatore con percussione Hikoki Mod.DV 18DBSL per C.O.S.Margherita</v>
      </c>
      <c r="C1432" t="str">
        <f>"Z053328E12"</f>
        <v>Z053328E12</v>
      </c>
      <c r="D1432" t="str">
        <f>"24/09/2021"</f>
        <v>24/09/2021</v>
      </c>
      <c r="E1432" t="str">
        <f>""</f>
        <v/>
      </c>
      <c r="F1432" t="str">
        <f>""</f>
        <v/>
      </c>
      <c r="G1432" t="str">
        <f>"298.00"</f>
        <v>298.00</v>
      </c>
      <c r="H1432" t="str">
        <f>"Consorzio di bonifica Bacchiglione"</f>
        <v>Consorzio di bonifica Bacchiglione</v>
      </c>
      <c r="I1432" t="str">
        <f>"92223390284"</f>
        <v>92223390284</v>
      </c>
      <c r="J1432" t="str">
        <f>"23-AFFIDAMENTO DIRETTO"</f>
        <v>23-AFFIDAMENTO DIRETTO</v>
      </c>
      <c r="K1432" t="str">
        <f>"23/09/2021"</f>
        <v>23/09/2021</v>
      </c>
      <c r="L1432" t="str">
        <f>"18/11/2021"</f>
        <v>18/11/2021</v>
      </c>
      <c r="M1432" t="str">
        <f>""</f>
        <v/>
      </c>
      <c r="N1432" t="str">
        <f>"Scarpa Sergio Elettromeccanica S.n.c. di Scarpa Paola E C. Via A. Vivaldi 7 35028 Piove di Sacco PD"</f>
        <v>Scarpa Sergio Elettromeccanica S.n.c. di Scarpa Paola E C. Via A. Vivaldi 7 35028 Piove di Sacco PD</v>
      </c>
      <c r="O1432" t="str">
        <f>"Scarpa Sergio Elettromeccanica S.n.c. di Scarpa Paola E C. Via A. Vivaldi 7 35028 Piove di Sacco PD"</f>
        <v>Scarpa Sergio Elettromeccanica S.n.c. di Scarpa Paola E C. Via A. Vivaldi 7 35028 Piove di Sacco PD</v>
      </c>
      <c r="P1432" t="s">
        <v>292</v>
      </c>
      <c r="Q1432" t="str">
        <f>""</f>
        <v/>
      </c>
      <c r="R1432" t="str">
        <f>""</f>
        <v/>
      </c>
      <c r="S1432" t="str">
        <f>""</f>
        <v/>
      </c>
      <c r="T1432" t="str">
        <f>"https://portaletrasparenza.consorziobacchiglione.it/dettagli/attodigara/7162/fornitura-di-n-1-avvitatore-con-percussione-hikoki-mod-dv-18dbsl-per-c-o-s-margherita.html"</f>
        <v>https://portaletrasparenza.consorziobacchiglione.it/dettagli/attodigara/7162/fornitura-di-n-1-avvitatore-con-percussione-hikoki-mod-dv-18dbsl-per-c-o-s-margherita.html</v>
      </c>
      <c r="U1432" t="str">
        <f>"https://portaletrasparenza.consorziobacchiglione.it/download/attodigara/7162/63ac45cd128f9.PDF"</f>
        <v>https://portaletrasparenza.consorziobacchiglione.it/download/attodigara/7162/63ac45cd128f9.PDF</v>
      </c>
      <c r="V14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33" spans="1:22" x14ac:dyDescent="0.3">
      <c r="A1433" t="str">
        <f>"Affidamento"</f>
        <v>Affidamento</v>
      </c>
      <c r="B1433" t="str">
        <f>"Manutenzione e riparazione motopompa Varisco J300"</f>
        <v>Manutenzione e riparazione motopompa Varisco J300</v>
      </c>
      <c r="C1433" t="str">
        <f>"Z62332BBBA"</f>
        <v>Z62332BBBA</v>
      </c>
      <c r="D1433" t="str">
        <f>"24/09/2021"</f>
        <v>24/09/2021</v>
      </c>
      <c r="E1433" t="str">
        <f>""</f>
        <v/>
      </c>
      <c r="F1433" t="str">
        <f>""</f>
        <v/>
      </c>
      <c r="G1433" t="str">
        <f>"32.00"</f>
        <v>32.00</v>
      </c>
      <c r="H1433" t="str">
        <f>"Consorzio di bonifica Bacchiglione"</f>
        <v>Consorzio di bonifica Bacchiglione</v>
      </c>
      <c r="I1433" t="str">
        <f>"92223390284"</f>
        <v>92223390284</v>
      </c>
      <c r="J1433" t="str">
        <f>"23-AFFIDAMENTO DIRETTO"</f>
        <v>23-AFFIDAMENTO DIRETTO</v>
      </c>
      <c r="K1433" t="str">
        <f>"23/09/2021"</f>
        <v>23/09/2021</v>
      </c>
      <c r="L1433" t="str">
        <f>"30/09/2021"</f>
        <v>30/09/2021</v>
      </c>
      <c r="M1433" t="str">
        <f>""</f>
        <v/>
      </c>
      <c r="N1433" t="str">
        <f>"Negrisolo Officina Meccanica s.a.s. V.le delle Industrie II° strada 13 35025 Cagnola di Cartura PD"</f>
        <v>Negrisolo Officina Meccanica s.a.s. V.le delle Industrie II° strada 13 35025 Cagnola di Cartura PD</v>
      </c>
      <c r="O1433" t="str">
        <f>"Negrisolo Officina Meccanica s.a.s. V.le delle Industrie II° strada 13 35025 Cagnola di Cartura PD"</f>
        <v>Negrisolo Officina Meccanica s.a.s. V.le delle Industrie II° strada 13 35025 Cagnola di Cartura PD</v>
      </c>
      <c r="P1433" t="s">
        <v>342</v>
      </c>
      <c r="Q1433" t="str">
        <f>""</f>
        <v/>
      </c>
      <c r="R1433" t="str">
        <f>""</f>
        <v/>
      </c>
      <c r="S1433" t="str">
        <f>""</f>
        <v/>
      </c>
      <c r="T1433" t="str">
        <f>"https://portaletrasparenza.consorziobacchiglione.it/dettagli/attodigara/7164/manutenzione-e-riparazione-motopompa-varisco-j300.html"</f>
        <v>https://portaletrasparenza.consorziobacchiglione.it/dettagli/attodigara/7164/manutenzione-e-riparazione-motopompa-varisco-j300.html</v>
      </c>
      <c r="U1433" t="str">
        <f>"https://portaletrasparenza.consorziobacchiglione.it/download/attodigara/7164/63ac45cd856ac.PDF"</f>
        <v>https://portaletrasparenza.consorziobacchiglione.it/download/attodigara/7164/63ac45cd856ac.PDF</v>
      </c>
      <c r="V14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34" spans="1:22" x14ac:dyDescent="0.3">
      <c r="A1434" t="str">
        <f>"Affidamento"</f>
        <v>Affidamento</v>
      </c>
      <c r="B1434" t="str">
        <f>"Manutenzione e riparazione sgrigliatore Idrovora di Lova."</f>
        <v>Manutenzione e riparazione sgrigliatore Idrovora di Lova.</v>
      </c>
      <c r="C1434" t="str">
        <f>"Z491C2B4A6"</f>
        <v>Z491C2B4A6</v>
      </c>
      <c r="D1434" t="str">
        <f>"04/11/2021"</f>
        <v>04/11/2021</v>
      </c>
      <c r="E1434" t="str">
        <f>""</f>
        <v/>
      </c>
      <c r="F1434" t="str">
        <f>""</f>
        <v/>
      </c>
      <c r="G1434" t="str">
        <f>"112.00"</f>
        <v>112.00</v>
      </c>
      <c r="H1434" t="str">
        <f>"Consorzio di bonifica Bacchiglione"</f>
        <v>Consorzio di bonifica Bacchiglione</v>
      </c>
      <c r="I1434" t="str">
        <f>"92223390284"</f>
        <v>92223390284</v>
      </c>
      <c r="J1434" t="str">
        <f>"23-AFFIDAMENTO DIRETTO"</f>
        <v>23-AFFIDAMENTO DIRETTO</v>
      </c>
      <c r="K1434" t="str">
        <f>"23/11/2021"</f>
        <v>23/11/2021</v>
      </c>
      <c r="L1434" t="str">
        <f>"16/01/2021"</f>
        <v>16/01/2021</v>
      </c>
      <c r="M1434" t="str">
        <f>""</f>
        <v/>
      </c>
      <c r="N1434" t="str">
        <f>"Officina Biesse S.n.c. Via Matteotti 24 35020 Arzergrande PD"</f>
        <v>Officina Biesse S.n.c. Via Matteotti 24 35020 Arzergrande PD</v>
      </c>
      <c r="O1434" t="str">
        <f>"Officina Biesse S.n.c. Via Matteotti 24 35020 Arzergrande PD"</f>
        <v>Officina Biesse S.n.c. Via Matteotti 24 35020 Arzergrande PD</v>
      </c>
      <c r="P1434" t="str">
        <f>"Z491C2B4A6: [112.00€ ]"</f>
        <v>Z491C2B4A6: [112.00€ ]</v>
      </c>
      <c r="Q1434" t="str">
        <f>""</f>
        <v/>
      </c>
      <c r="R1434" t="str">
        <f>""</f>
        <v/>
      </c>
      <c r="S1434" t="str">
        <f>""</f>
        <v/>
      </c>
      <c r="T1434" t="str">
        <f>"https://portaletrasparenza.consorziobacchiglione.it/dettagli/attodigara/947/manutenzione-e-riparazione-sgrigliatore-idrovora-di-lova.html"</f>
        <v>https://portaletrasparenza.consorziobacchiglione.it/dettagli/attodigara/947/manutenzione-e-riparazione-sgrigliatore-idrovora-di-lova.html</v>
      </c>
      <c r="U1434" t="str">
        <f>""</f>
        <v/>
      </c>
      <c r="V14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35" spans="1:22" x14ac:dyDescent="0.3">
      <c r="A1435" t="str">
        <f>"Affidamento"</f>
        <v>Affidamento</v>
      </c>
      <c r="B1435" t="str">
        <f>"Riparazione G.E. Idrovora di Lova."</f>
        <v>Riparazione G.E. Idrovora di Lova.</v>
      </c>
      <c r="C1435" t="str">
        <f>"ZAD1C2B32B"</f>
        <v>ZAD1C2B32B</v>
      </c>
      <c r="D1435" t="str">
        <f>"04/11/2021"</f>
        <v>04/11/2021</v>
      </c>
      <c r="E1435" t="str">
        <f>""</f>
        <v/>
      </c>
      <c r="F1435" t="str">
        <f>""</f>
        <v/>
      </c>
      <c r="G1435" t="str">
        <f>"464.00"</f>
        <v>464.00</v>
      </c>
      <c r="H1435" t="str">
        <f>"Consorzio di bonifica Bacchiglione"</f>
        <v>Consorzio di bonifica Bacchiglione</v>
      </c>
      <c r="I1435" t="str">
        <f>"92223390284"</f>
        <v>92223390284</v>
      </c>
      <c r="J1435" t="str">
        <f>"23-AFFIDAMENTO DIRETTO"</f>
        <v>23-AFFIDAMENTO DIRETTO</v>
      </c>
      <c r="K1435" t="str">
        <f>"23/11/2021"</f>
        <v>23/11/2021</v>
      </c>
      <c r="L1435" t="str">
        <f>"20/12/2021"</f>
        <v>20/12/2021</v>
      </c>
      <c r="M1435" t="str">
        <f>""</f>
        <v/>
      </c>
      <c r="N1435" t="str">
        <f>"Officina Biesse S.n.c. Via Matteotti 24 35020 Arzergrande PD"</f>
        <v>Officina Biesse S.n.c. Via Matteotti 24 35020 Arzergrande PD</v>
      </c>
      <c r="O1435" t="str">
        <f>"Officina Biesse S.n.c. Via Matteotti 24 35020 Arzergrande PD"</f>
        <v>Officina Biesse S.n.c. Via Matteotti 24 35020 Arzergrande PD</v>
      </c>
      <c r="P1435" t="str">
        <f>"ZAD1C2B32B: [464.00€ ]"</f>
        <v>ZAD1C2B32B: [464.00€ ]</v>
      </c>
      <c r="Q1435" t="str">
        <f>""</f>
        <v/>
      </c>
      <c r="R1435" t="str">
        <f>""</f>
        <v/>
      </c>
      <c r="S1435" t="str">
        <f>""</f>
        <v/>
      </c>
      <c r="T1435" t="str">
        <f>"https://portaletrasparenza.consorziobacchiglione.it/dettagli/attodigara/946/riparazione-g-e-idrovora-di-lova.html"</f>
        <v>https://portaletrasparenza.consorziobacchiglione.it/dettagli/attodigara/946/riparazione-g-e-idrovora-di-lova.html</v>
      </c>
      <c r="U1435" t="str">
        <f>""</f>
        <v/>
      </c>
      <c r="V14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36" spans="1:22" x14ac:dyDescent="0.3">
      <c r="A1436" t="str">
        <f>"Affidamento"</f>
        <v>Affidamento</v>
      </c>
      <c r="B1436" t="str">
        <f>"Fornitura materiale elettrico per vari Impianti"</f>
        <v>Fornitura materiale elettrico per vari Impianti</v>
      </c>
      <c r="C1436" t="str">
        <f>"ZD31C2B1A5"</f>
        <v>ZD31C2B1A5</v>
      </c>
      <c r="D1436" t="str">
        <f>"04/11/2021"</f>
        <v>04/11/2021</v>
      </c>
      <c r="E1436" t="str">
        <f>""</f>
        <v/>
      </c>
      <c r="F1436" t="str">
        <f>""</f>
        <v/>
      </c>
      <c r="G1436" t="str">
        <f>"125.70"</f>
        <v>125.70</v>
      </c>
      <c r="H1436" t="str">
        <f>"Consorzio di bonifica Bacchiglione"</f>
        <v>Consorzio di bonifica Bacchiglione</v>
      </c>
      <c r="I1436" t="str">
        <f>"92223390284"</f>
        <v>92223390284</v>
      </c>
      <c r="J1436" t="str">
        <f>"23-AFFIDAMENTO DIRETTO"</f>
        <v>23-AFFIDAMENTO DIRETTO</v>
      </c>
      <c r="K1436" t="str">
        <f>"23/11/2021"</f>
        <v>23/11/2021</v>
      </c>
      <c r="L1436" t="str">
        <f>"31/01/2021"</f>
        <v>31/01/2021</v>
      </c>
      <c r="M1436" t="str">
        <f>""</f>
        <v/>
      </c>
      <c r="N1436" t="str">
        <f>"Elettroveneta S.p.A. Viale della Navigazione Interna, 48 - 35129 Padova (PD)"</f>
        <v>Elettroveneta S.p.A. Viale della Navigazione Interna, 48 - 35129 Padova (PD)</v>
      </c>
      <c r="O1436" t="str">
        <f>"Elettroveneta S.p.A. Viale della Navigazione Interna, 48 - 35129 Padova (PD)"</f>
        <v>Elettroveneta S.p.A. Viale della Navigazione Interna, 48 - 35129 Padova (PD)</v>
      </c>
      <c r="P1436" t="str">
        <f>"ZD31C2B1A5: [125.70€ ]"</f>
        <v>ZD31C2B1A5: [125.70€ ]</v>
      </c>
      <c r="Q1436" t="str">
        <f>""</f>
        <v/>
      </c>
      <c r="R1436" t="str">
        <f>""</f>
        <v/>
      </c>
      <c r="S1436" t="str">
        <f>""</f>
        <v/>
      </c>
      <c r="T1436" t="str">
        <f>"https://portaletrasparenza.consorziobacchiglione.it/dettagli/attodigara/945/fornitura-materiale-elettrico-per-vari-impianti.html"</f>
        <v>https://portaletrasparenza.consorziobacchiglione.it/dettagli/attodigara/945/fornitura-materiale-elettrico-per-vari-impianti.html</v>
      </c>
      <c r="U1436" t="str">
        <f>""</f>
        <v/>
      </c>
      <c r="V14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37" spans="1:22" x14ac:dyDescent="0.3">
      <c r="A1437" t="str">
        <f>"Affidamento"</f>
        <v>Affidamento</v>
      </c>
      <c r="B1437" t="str">
        <f>"Manutenzione , riparazione e lavaggio mezzi con targa: PDAF496, DN881SC, PDAF480, Motobarca n 7 / 8."</f>
        <v>Manutenzione , riparazione e lavaggio mezzi con targa: PDAF496, DN881SC, PDAF480, Motobarca n 7 / 8.</v>
      </c>
      <c r="C1437" t="str">
        <f>"Z8B1C2AFE3"</f>
        <v>Z8B1C2AFE3</v>
      </c>
      <c r="D1437" t="str">
        <f>"04/11/2021"</f>
        <v>04/11/2021</v>
      </c>
      <c r="E1437" t="str">
        <f>""</f>
        <v/>
      </c>
      <c r="F1437" t="str">
        <f>""</f>
        <v/>
      </c>
      <c r="G1437" t="str">
        <f>"2117.72"</f>
        <v>2117.72</v>
      </c>
      <c r="H1437" t="str">
        <f>"Consorzio di bonifica Bacchiglione"</f>
        <v>Consorzio di bonifica Bacchiglione</v>
      </c>
      <c r="I1437" t="str">
        <f>"92223390284"</f>
        <v>92223390284</v>
      </c>
      <c r="J1437" t="str">
        <f>"23-AFFIDAMENTO DIRETTO"</f>
        <v>23-AFFIDAMENTO DIRETTO</v>
      </c>
      <c r="K1437" t="str">
        <f>"23/11/2021"</f>
        <v>23/11/2021</v>
      </c>
      <c r="L1437" t="str">
        <f>"20/12/2021"</f>
        <v>20/12/2021</v>
      </c>
      <c r="M1437" t="str">
        <f>""</f>
        <v/>
      </c>
      <c r="N1437" t="str">
        <f>"Officina Biesse S.n.c. Via Matteotti 24 35020 Arzergrande PD"</f>
        <v>Officina Biesse S.n.c. Via Matteotti 24 35020 Arzergrande PD</v>
      </c>
      <c r="O1437" t="str">
        <f>"Officina Biesse S.n.c. Via Matteotti 24 35020 Arzergrande PD"</f>
        <v>Officina Biesse S.n.c. Via Matteotti 24 35020 Arzergrande PD</v>
      </c>
      <c r="P1437" t="str">
        <f>"Z8B1C2AFE3: [2117.72€ ]"</f>
        <v>Z8B1C2AFE3: [2117.72€ ]</v>
      </c>
      <c r="Q1437" t="str">
        <f>""</f>
        <v/>
      </c>
      <c r="R1437" t="str">
        <f>""</f>
        <v/>
      </c>
      <c r="S1437" t="str">
        <f>""</f>
        <v/>
      </c>
      <c r="T1437" t="str">
        <f>"https://portaletrasparenza.consorziobacchiglione.it/dettagli/attodigara/944/manutenzione-riparazione-e-lavaggio-mezzi-con-targa-pdaf496-dn881sc-pdaf480-motobarca-n-7-8.html"</f>
        <v>https://portaletrasparenza.consorziobacchiglione.it/dettagli/attodigara/944/manutenzione-riparazione-e-lavaggio-mezzi-con-targa-pdaf496-dn881sc-pdaf480-motobarca-n-7-8.html</v>
      </c>
      <c r="U1437" t="str">
        <f>""</f>
        <v/>
      </c>
      <c r="V143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38" spans="1:22" x14ac:dyDescent="0.3">
      <c r="A1438" t="str">
        <f>"Affidamento"</f>
        <v>Affidamento</v>
      </c>
      <c r="B1438" t="str">
        <f>"Revisione e potenziamento elettropompa E.P.2 dell'drovora Marinelle"</f>
        <v>Revisione e potenziamento elettropompa E.P.2 dell'drovora Marinelle</v>
      </c>
      <c r="C1438" t="str">
        <f>"Z841C2A628"</f>
        <v>Z841C2A628</v>
      </c>
      <c r="D1438" t="str">
        <f>"04/11/2021"</f>
        <v>04/11/2021</v>
      </c>
      <c r="E1438" t="str">
        <f>""</f>
        <v/>
      </c>
      <c r="F1438" t="str">
        <f>""</f>
        <v/>
      </c>
      <c r="G1438" t="str">
        <f>"8850.00"</f>
        <v>8850.00</v>
      </c>
      <c r="H1438" t="str">
        <f>"Consorzio di bonifica Bacchiglione"</f>
        <v>Consorzio di bonifica Bacchiglione</v>
      </c>
      <c r="I1438" t="str">
        <f>"92223390284"</f>
        <v>92223390284</v>
      </c>
      <c r="J1438" t="str">
        <f>"23-AFFIDAMENTO DIRETTO"</f>
        <v>23-AFFIDAMENTO DIRETTO</v>
      </c>
      <c r="K1438" t="str">
        <f>"23/11/2021"</f>
        <v>23/11/2021</v>
      </c>
      <c r="L1438" t="str">
        <f>"28/02/2021"</f>
        <v>28/02/2021</v>
      </c>
      <c r="M1438" t="str">
        <f>""</f>
        <v/>
      </c>
      <c r="N1438" t="str">
        <f>"Officina Biesse S.n.c. Via Matteotti 24 35020 Arzergrande PD | Moro Meccanica S.R.L. Via Bologna 7 35035 Mestrino PD | Twincad S.R.L. Via Don Milani 1 45100 Rovigo"</f>
        <v>Officina Biesse S.n.c. Via Matteotti 24 35020 Arzergrande PD | Moro Meccanica S.R.L. Via Bologna 7 35035 Mestrino PD | Twincad S.R.L. Via Don Milani 1 45100 Rovigo</v>
      </c>
      <c r="O1438" t="str">
        <f>"Moro Meccanica S.R.L. Via Bologna 7 35035 Mestrino PD"</f>
        <v>Moro Meccanica S.R.L. Via Bologna 7 35035 Mestrino PD</v>
      </c>
      <c r="P1438" t="str">
        <f>"Z841C2A628: [8850.00€ ]"</f>
        <v>Z841C2A628: [8850.00€ ]</v>
      </c>
      <c r="Q1438" t="str">
        <f>""</f>
        <v/>
      </c>
      <c r="R1438" t="str">
        <f>""</f>
        <v/>
      </c>
      <c r="S1438" t="str">
        <f>""</f>
        <v/>
      </c>
      <c r="T1438" t="str">
        <f>"https://portaletrasparenza.consorziobacchiglione.it/dettagli/attodigara/943/revisione-e-potenziamento-elettropompa-e-p-2-dell-drovora-marinelle.html"</f>
        <v>https://portaletrasparenza.consorziobacchiglione.it/dettagli/attodigara/943/revisione-e-potenziamento-elettropompa-e-p-2-dell-drovora-marinelle.html</v>
      </c>
      <c r="U1438" t="str">
        <f>""</f>
        <v/>
      </c>
      <c r="V143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39" spans="1:22" x14ac:dyDescent="0.3">
      <c r="A1439" t="str">
        <f>"Affidamento"</f>
        <v>Affidamento</v>
      </c>
      <c r="B1439" t="str">
        <f>"Fornitura Inverter 350KW - pompa 2 Idrovora S.Margherita"</f>
        <v>Fornitura Inverter 350KW - pompa 2 Idrovora S.Margherita</v>
      </c>
      <c r="C1439" t="str">
        <f>"Z391C2A492"</f>
        <v>Z391C2A492</v>
      </c>
      <c r="D1439" t="str">
        <f>"04/11/2021"</f>
        <v>04/11/2021</v>
      </c>
      <c r="E1439" t="str">
        <f>""</f>
        <v/>
      </c>
      <c r="F1439" t="str">
        <f>""</f>
        <v/>
      </c>
      <c r="G1439" t="str">
        <f>"17417.37"</f>
        <v>17417.37</v>
      </c>
      <c r="H1439" t="str">
        <f>"Consorzio di bonifica Bacchiglione"</f>
        <v>Consorzio di bonifica Bacchiglione</v>
      </c>
      <c r="I1439" t="str">
        <f>"92223390284"</f>
        <v>92223390284</v>
      </c>
      <c r="J1439" t="str">
        <f>"23-AFFIDAMENTO DIRETTO"</f>
        <v>23-AFFIDAMENTO DIRETTO</v>
      </c>
      <c r="K1439" t="str">
        <f>"23/11/2021"</f>
        <v>23/11/2021</v>
      </c>
      <c r="L1439" t="str">
        <f>"23/03/2021"</f>
        <v>23/03/2021</v>
      </c>
      <c r="M1439" t="str">
        <f>""</f>
        <v/>
      </c>
      <c r="N1439" t="str">
        <f>"SCHNEIDER ELECTRIC S.P.A. Via Circonvallazione Est, 1 - 24040 Stezzano (BG)"</f>
        <v>SCHNEIDER ELECTRIC S.P.A. Via Circonvallazione Est, 1 - 24040 Stezzano (BG)</v>
      </c>
      <c r="O1439" t="str">
        <f>"SCHNEIDER ELECTRIC S.P.A. Via Circonvallazione Est, 1 - 24040 Stezzano (BG)"</f>
        <v>SCHNEIDER ELECTRIC S.P.A. Via Circonvallazione Est, 1 - 24040 Stezzano (BG)</v>
      </c>
      <c r="P1439" t="str">
        <f>"Z391C2A492: [17417.37€ ]"</f>
        <v>Z391C2A492: [17417.37€ ]</v>
      </c>
      <c r="Q1439" t="str">
        <f>""</f>
        <v/>
      </c>
      <c r="R1439" t="str">
        <f>""</f>
        <v/>
      </c>
      <c r="S1439" t="str">
        <f>""</f>
        <v/>
      </c>
      <c r="T1439" t="str">
        <f>"https://portaletrasparenza.consorziobacchiglione.it/dettagli/attodigara/942/fornitura-inverter-350kw-pompa-2-idrovora-s-margherita.html"</f>
        <v>https://portaletrasparenza.consorziobacchiglione.it/dettagli/attodigara/942/fornitura-inverter-350kw-pompa-2-idrovora-s-margherita.html</v>
      </c>
      <c r="U1439" t="str">
        <f>""</f>
        <v/>
      </c>
      <c r="V14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40" spans="1:22" x14ac:dyDescent="0.3">
      <c r="A1440" t="str">
        <f>"Affidamento"</f>
        <v>Affidamento</v>
      </c>
      <c r="B1440" t="str">
        <f>"Fornitura Quadro Inverter 160KW - pompa 1 Idrovora Ponte di Riva."</f>
        <v>Fornitura Quadro Inverter 160KW - pompa 1 Idrovora Ponte di Riva.</v>
      </c>
      <c r="C1440" t="str">
        <f>"Z4C1C2A2D4"</f>
        <v>Z4C1C2A2D4</v>
      </c>
      <c r="D1440" t="str">
        <f>"04/11/2021"</f>
        <v>04/11/2021</v>
      </c>
      <c r="E1440" t="str">
        <f>""</f>
        <v/>
      </c>
      <c r="F1440" t="str">
        <f>""</f>
        <v/>
      </c>
      <c r="G1440" t="str">
        <f>"10126.00"</f>
        <v>10126.00</v>
      </c>
      <c r="H1440" t="str">
        <f>"Consorzio di bonifica Bacchiglione"</f>
        <v>Consorzio di bonifica Bacchiglione</v>
      </c>
      <c r="I1440" t="str">
        <f>"92223390284"</f>
        <v>92223390284</v>
      </c>
      <c r="J1440" t="str">
        <f>"23-AFFIDAMENTO DIRETTO"</f>
        <v>23-AFFIDAMENTO DIRETTO</v>
      </c>
      <c r="K1440" t="str">
        <f>"23/11/2021"</f>
        <v>23/11/2021</v>
      </c>
      <c r="L1440" t="str">
        <f>"31/03/2021"</f>
        <v>31/03/2021</v>
      </c>
      <c r="M1440" t="str">
        <f>""</f>
        <v/>
      </c>
      <c r="N1440" t="str">
        <f>"SCHNEIDER ELECTRIC S.P.A. Via Circonvallazione Est, 1 - 24040 Stezzano (BG)"</f>
        <v>SCHNEIDER ELECTRIC S.P.A. Via Circonvallazione Est, 1 - 24040 Stezzano (BG)</v>
      </c>
      <c r="O1440" t="str">
        <f>"SCHNEIDER ELECTRIC S.P.A. Via Circonvallazione Est, 1 - 24040 Stezzano (BG)"</f>
        <v>SCHNEIDER ELECTRIC S.P.A. Via Circonvallazione Est, 1 - 24040 Stezzano (BG)</v>
      </c>
      <c r="P1440" t="str">
        <f>"Z4C1C2A2D4: [10126.00€ ]"</f>
        <v>Z4C1C2A2D4: [10126.00€ ]</v>
      </c>
      <c r="Q1440" t="str">
        <f>""</f>
        <v/>
      </c>
      <c r="R1440" t="str">
        <f>""</f>
        <v/>
      </c>
      <c r="S1440" t="str">
        <f>""</f>
        <v/>
      </c>
      <c r="T1440" t="str">
        <f>"https://portaletrasparenza.consorziobacchiglione.it/dettagli/attodigara/941/fornitura-quadro-inverter-160kw-pompa-1-idrovora-ponte-di-riva.html"</f>
        <v>https://portaletrasparenza.consorziobacchiglione.it/dettagli/attodigara/941/fornitura-quadro-inverter-160kw-pompa-1-idrovora-ponte-di-riva.html</v>
      </c>
      <c r="U1440" t="str">
        <f>""</f>
        <v/>
      </c>
      <c r="V14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41" spans="1:22" x14ac:dyDescent="0.3">
      <c r="A1441" t="str">
        <f>"Affidamento"</f>
        <v>Affidamento</v>
      </c>
      <c r="B1441" t="str">
        <f>"Fornitura Quadro Inverter 160KW - pompa 3 Idrovora Ponte di Riva."</f>
        <v>Fornitura Quadro Inverter 160KW - pompa 3 Idrovora Ponte di Riva.</v>
      </c>
      <c r="C1441" t="str">
        <f>"ZC41C2A1D6"</f>
        <v>ZC41C2A1D6</v>
      </c>
      <c r="D1441" t="str">
        <f>"04/11/2021"</f>
        <v>04/11/2021</v>
      </c>
      <c r="E1441" t="str">
        <f>""</f>
        <v/>
      </c>
      <c r="F1441" t="str">
        <f>""</f>
        <v/>
      </c>
      <c r="G1441" t="str">
        <f>"10126.00"</f>
        <v>10126.00</v>
      </c>
      <c r="H1441" t="str">
        <f>"Consorzio di bonifica Bacchiglione"</f>
        <v>Consorzio di bonifica Bacchiglione</v>
      </c>
      <c r="I1441" t="str">
        <f>"92223390284"</f>
        <v>92223390284</v>
      </c>
      <c r="J1441" t="str">
        <f>"23-AFFIDAMENTO DIRETTO"</f>
        <v>23-AFFIDAMENTO DIRETTO</v>
      </c>
      <c r="K1441" t="str">
        <f>"23/11/2021"</f>
        <v>23/11/2021</v>
      </c>
      <c r="L1441" t="str">
        <f>"31/03/2021"</f>
        <v>31/03/2021</v>
      </c>
      <c r="M1441" t="str">
        <f>""</f>
        <v/>
      </c>
      <c r="N1441" t="str">
        <f>"SCHNEIDER ELECTRIC S.P.A. Via Circonvallazione Est, 1 - 24040 Stezzano (BG)"</f>
        <v>SCHNEIDER ELECTRIC S.P.A. Via Circonvallazione Est, 1 - 24040 Stezzano (BG)</v>
      </c>
      <c r="O1441" t="str">
        <f>"SCHNEIDER ELECTRIC S.P.A. Via Circonvallazione Est, 1 - 24040 Stezzano (BG)"</f>
        <v>SCHNEIDER ELECTRIC S.P.A. Via Circonvallazione Est, 1 - 24040 Stezzano (BG)</v>
      </c>
      <c r="P1441" t="str">
        <f>"ZC41C2A1D6: [10126.00€ ]"</f>
        <v>ZC41C2A1D6: [10126.00€ ]</v>
      </c>
      <c r="Q1441" t="str">
        <f>""</f>
        <v/>
      </c>
      <c r="R1441" t="str">
        <f>""</f>
        <v/>
      </c>
      <c r="S1441" t="str">
        <f>""</f>
        <v/>
      </c>
      <c r="T1441" t="str">
        <f>"https://portaletrasparenza.consorziobacchiglione.it/dettagli/attodigara/940/fornitura-quadro-inverter-160kw-pompa-3-idrovora-ponte-di-riva.html"</f>
        <v>https://portaletrasparenza.consorziobacchiglione.it/dettagli/attodigara/940/fornitura-quadro-inverter-160kw-pompa-3-idrovora-ponte-di-riva.html</v>
      </c>
      <c r="U1441" t="str">
        <f>""</f>
        <v/>
      </c>
      <c r="V144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42" spans="1:22" x14ac:dyDescent="0.3">
      <c r="A1442" t="str">
        <f>"Affidamento"</f>
        <v>Affidamento</v>
      </c>
      <c r="B1442" t="str">
        <f>"Consulenza per l'adozione del modello organizzativo di cui al D. Lgs. 231/2001 e conseguente adeguegaento della documentazione in materia di trasparenza e prevenzione della corruzione."</f>
        <v>Consulenza per l'adozione del modello organizzativo di cui al D. Lgs. 231/2001 e conseguente adeguegaento della documentazione in materia di trasparenza e prevenzione della corruzione.</v>
      </c>
      <c r="C1442" t="str">
        <f>"Z601C283F1"</f>
        <v>Z601C283F1</v>
      </c>
      <c r="D1442" t="str">
        <f>"04/11/2021"</f>
        <v>04/11/2021</v>
      </c>
      <c r="E1442" t="str">
        <f>""</f>
        <v/>
      </c>
      <c r="F1442" t="str">
        <f>""</f>
        <v/>
      </c>
      <c r="G1442" t="str">
        <f>"2288.00"</f>
        <v>2288.00</v>
      </c>
      <c r="H1442" t="str">
        <f>"Consorzio di bonifica Bacchiglione"</f>
        <v>Consorzio di bonifica Bacchiglione</v>
      </c>
      <c r="I1442" t="str">
        <f>"92223390284"</f>
        <v>92223390284</v>
      </c>
      <c r="J1442" t="str">
        <f>"23-AFFIDAMENTO DIRETTO"</f>
        <v>23-AFFIDAMENTO DIRETTO</v>
      </c>
      <c r="K1442" t="str">
        <f>"23/11/2021"</f>
        <v>23/11/2021</v>
      </c>
      <c r="L1442" t="str">
        <f>"31/12/2021"</f>
        <v>31/12/2021</v>
      </c>
      <c r="M1442" t="str">
        <f>""</f>
        <v/>
      </c>
      <c r="N1442" t="str">
        <f>"STUDIO ASSOCIATO TOMMASINI E MARTINELLI"</f>
        <v>STUDIO ASSOCIATO TOMMASINI E MARTINELLI</v>
      </c>
      <c r="O1442" t="str">
        <f>"STUDIO ASSOCIATO TOMMASINI E MARTINELLI"</f>
        <v>STUDIO ASSOCIATO TOMMASINI E MARTINELLI</v>
      </c>
      <c r="P1442" t="str">
        <f>"Z601C283F1: [1820.00€ ]"</f>
        <v>Z601C283F1: [1820.00€ ]</v>
      </c>
      <c r="Q1442" t="str">
        <f>""</f>
        <v/>
      </c>
      <c r="R1442" t="str">
        <f>""</f>
        <v/>
      </c>
      <c r="S1442" t="str">
        <f>""</f>
        <v/>
      </c>
      <c r="T1442" t="s">
        <v>37</v>
      </c>
      <c r="U1442" t="str">
        <f>""</f>
        <v/>
      </c>
      <c r="V1442">
        <f>(SUBSTITUTE(Tabella1[[#This Row],[Importo di aggiudicazione]],".",","))-(SUBSTITUTE(  SUBSTITUTE(          SUBSTITUTE(Tabella1[[#This Row],[Dettaglio somme liquidate]],Tabella1[[#This Row],[CIG]]&amp;": [",""),"€ ]",""),".",","))</f>
        <v>468</v>
      </c>
    </row>
    <row r="1443" spans="1:22" x14ac:dyDescent="0.3">
      <c r="A1443" t="str">
        <f>"Affidamento"</f>
        <v>Affidamento</v>
      </c>
      <c r="B1443" t="str">
        <f>"Fornitura videoregistrazione webinar \'Programmazione e gestione dei lavori pubblici nella contabilità armonizzata\'"</f>
        <v>Fornitura videoregistrazione webinar \'Programmazione e gestione dei lavori pubblici nella contabilità armonizzata\'</v>
      </c>
      <c r="C1443" t="str">
        <f>"Z873406926"</f>
        <v>Z873406926</v>
      </c>
      <c r="D1443" t="str">
        <f>"23/11/2021"</f>
        <v>23/11/2021</v>
      </c>
      <c r="E1443" t="str">
        <f>""</f>
        <v/>
      </c>
      <c r="F1443" t="str">
        <f>""</f>
        <v/>
      </c>
      <c r="G1443" t="str">
        <f>"140.00"</f>
        <v>140.00</v>
      </c>
      <c r="H1443" t="str">
        <f>"Consorzio di bonifica Bacchiglione"</f>
        <v>Consorzio di bonifica Bacchiglione</v>
      </c>
      <c r="I1443" t="str">
        <f>"92223390284"</f>
        <v>92223390284</v>
      </c>
      <c r="J1443" t="str">
        <f>"23-AFFIDAMENTO DIRETTO"</f>
        <v>23-AFFIDAMENTO DIRETTO</v>
      </c>
      <c r="K1443" t="str">
        <f>"23/11/2021"</f>
        <v>23/11/2021</v>
      </c>
      <c r="L1443" t="str">
        <f>"03/02/2022"</f>
        <v>03/02/2022</v>
      </c>
      <c r="M1443" t="str">
        <f>""</f>
        <v/>
      </c>
      <c r="N1443" t="str">
        <f>"CENTRO STUDI AMMINISTRATIVI DELLA MARCA TREVIGIANA"</f>
        <v>CENTRO STUDI AMMINISTRATIVI DELLA MARCA TREVIGIANA</v>
      </c>
      <c r="O1443" t="str">
        <f>"CENTRO STUDI AMMINISTRATIVI DELLA MARCA TREVIGIANA"</f>
        <v>CENTRO STUDI AMMINISTRATIVI DELLA MARCA TREVIGIANA</v>
      </c>
      <c r="P1443" t="s">
        <v>312</v>
      </c>
      <c r="Q1443" t="str">
        <f>""</f>
        <v/>
      </c>
      <c r="R1443" t="str">
        <f>""</f>
        <v/>
      </c>
      <c r="S1443" t="str">
        <f>""</f>
        <v/>
      </c>
      <c r="T1443" t="str">
        <f>"https://portaletrasparenza.consorziobacchiglione.it/dettagli/attodigara/7300/fornitura-videoregistrazione-webinar-programmazione-e-gestione-dei-lavori-pubblici-nella-contabilita-armonizzata.html"</f>
        <v>https://portaletrasparenza.consorziobacchiglione.it/dettagli/attodigara/7300/fornitura-videoregistrazione-webinar-programmazione-e-gestione-dei-lavori-pubblici-nella-contabilita-armonizzata.html</v>
      </c>
      <c r="U1443" t="str">
        <f>"https://portaletrasparenza.consorziobacchiglione.it/download/attodigara/7300/63ac45eda5acf.PDF"</f>
        <v>https://portaletrasparenza.consorziobacchiglione.it/download/attodigara/7300/63ac45eda5acf.PDF</v>
      </c>
      <c r="V144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44" spans="1:22" x14ac:dyDescent="0.3">
      <c r="A1444" t="str">
        <f>"Affidamento"</f>
        <v>Affidamento</v>
      </c>
      <c r="B1444" t="str">
        <f>"Fornitura n.11 tappeti copripavimenti in pvc per uffici consorziali."</f>
        <v>Fornitura n.11 tappeti copripavimenti in pvc per uffici consorziali.</v>
      </c>
      <c r="C1444" t="str">
        <f>"Z17340CE58"</f>
        <v>Z17340CE58</v>
      </c>
      <c r="D1444" t="str">
        <f>"23/11/2021"</f>
        <v>23/11/2021</v>
      </c>
      <c r="E1444" t="str">
        <f>""</f>
        <v/>
      </c>
      <c r="F1444" t="str">
        <f>""</f>
        <v/>
      </c>
      <c r="G1444" t="str">
        <f>"1018.00"</f>
        <v>1018.00</v>
      </c>
      <c r="H1444" t="str">
        <f>"Consorzio di bonifica Bacchiglione"</f>
        <v>Consorzio di bonifica Bacchiglione</v>
      </c>
      <c r="I1444" t="str">
        <f>"92223390284"</f>
        <v>92223390284</v>
      </c>
      <c r="J1444" t="str">
        <f>"23-AFFIDAMENTO DIRETTO"</f>
        <v>23-AFFIDAMENTO DIRETTO</v>
      </c>
      <c r="K1444" t="str">
        <f>"23/11/2021"</f>
        <v>23/11/2021</v>
      </c>
      <c r="L1444" t="str">
        <f>"31/12/2021"</f>
        <v>31/12/2021</v>
      </c>
      <c r="M1444" t="str">
        <f>""</f>
        <v/>
      </c>
      <c r="N1444" t="str">
        <f>"GBR ROSSETTO S.P.A."</f>
        <v>GBR ROSSETTO S.P.A.</v>
      </c>
      <c r="O1444" t="str">
        <f>"GBR ROSSETTO S.P.A."</f>
        <v>GBR ROSSETTO S.P.A.</v>
      </c>
      <c r="P1444" t="str">
        <f>"Z17340CE58: [294.00€ ]"</f>
        <v>Z17340CE58: [294.00€ ]</v>
      </c>
      <c r="Q1444" t="str">
        <f>""</f>
        <v/>
      </c>
      <c r="R1444" t="str">
        <f>""</f>
        <v/>
      </c>
      <c r="S1444" t="str">
        <f>""</f>
        <v/>
      </c>
      <c r="T1444" t="str">
        <f>"https://portaletrasparenza.consorziobacchiglione.it/dettagli/attodigara/7301/fornitura-n-11-tappeti-copripavimenti-in-pvc-per-uffici-consorziali.html"</f>
        <v>https://portaletrasparenza.consorziobacchiglione.it/dettagli/attodigara/7301/fornitura-n-11-tappeti-copripavimenti-in-pvc-per-uffici-consorziali.html</v>
      </c>
      <c r="U1444" t="str">
        <f>"https://portaletrasparenza.consorziobacchiglione.it/download/attodigara/7301/63ac45eddeac0.PDF"</f>
        <v>https://portaletrasparenza.consorziobacchiglione.it/download/attodigara/7301/63ac45eddeac0.PDF</v>
      </c>
      <c r="V1444">
        <f>(SUBSTITUTE(Tabella1[[#This Row],[Importo di aggiudicazione]],".",","))-(SUBSTITUTE(  SUBSTITUTE(          SUBSTITUTE(Tabella1[[#This Row],[Dettaglio somme liquidate]],Tabella1[[#This Row],[CIG]]&amp;": [",""),"€ ]",""),".",","))</f>
        <v>724</v>
      </c>
    </row>
    <row r="1445" spans="1:22" x14ac:dyDescent="0.3">
      <c r="A1445" t="str">
        <f>"Affidamento"</f>
        <v>Affidamento</v>
      </c>
      <c r="B1445" t="str">
        <f>"Fornitura n.1 serie di tappetti in gomma per il mezzo targato: FN454KT e n.3 spray pulisci cruscotti per mezzi Consorziali"</f>
        <v>Fornitura n.1 serie di tappetti in gomma per il mezzo targato: FN454KT e n.3 spray pulisci cruscotti per mezzi Consorziali</v>
      </c>
      <c r="C1445" t="str">
        <f>"Z1A340D022"</f>
        <v>Z1A340D022</v>
      </c>
      <c r="D1445" t="str">
        <f>"24/11/2021"</f>
        <v>24/11/2021</v>
      </c>
      <c r="E1445" t="str">
        <f>""</f>
        <v/>
      </c>
      <c r="F1445" t="str">
        <f>""</f>
        <v/>
      </c>
      <c r="G1445" t="str">
        <f>"58.00"</f>
        <v>58.00</v>
      </c>
      <c r="H1445" t="str">
        <f>"Consorzio di bonifica Bacchiglione"</f>
        <v>Consorzio di bonifica Bacchiglione</v>
      </c>
      <c r="I1445" t="str">
        <f>"92223390284"</f>
        <v>92223390284</v>
      </c>
      <c r="J1445" t="str">
        <f>"23-AFFIDAMENTO DIRETTO"</f>
        <v>23-AFFIDAMENTO DIRETTO</v>
      </c>
      <c r="K1445" t="str">
        <f>"23/11/2021"</f>
        <v>23/11/2021</v>
      </c>
      <c r="L1445" t="str">
        <f>"02/12/2021"</f>
        <v>02/12/2021</v>
      </c>
      <c r="M1445" t="str">
        <f>""</f>
        <v/>
      </c>
      <c r="N1445" t="str">
        <f>"Autoricambi s.n.c. di Mardegan Paolo e Manfron Veronica Via A.Valerio 26-28 Piove di Sacco PD"</f>
        <v>Autoricambi s.n.c. di Mardegan Paolo e Manfron Veronica Via A.Valerio 26-28 Piove di Sacco PD</v>
      </c>
      <c r="O1445" t="str">
        <f>"Autoricambi s.n.c. di Mardegan Paolo e Manfron Veronica Via A.Valerio 26-28 Piove di Sacco PD"</f>
        <v>Autoricambi s.n.c. di Mardegan Paolo e Manfron Veronica Via A.Valerio 26-28 Piove di Sacco PD</v>
      </c>
      <c r="P1445" t="s">
        <v>330</v>
      </c>
      <c r="Q1445" t="str">
        <f>""</f>
        <v/>
      </c>
      <c r="R1445" t="str">
        <f>""</f>
        <v/>
      </c>
      <c r="S1445" t="str">
        <f>""</f>
        <v/>
      </c>
      <c r="T1445" t="str">
        <f>"https://portaletrasparenza.consorziobacchiglione.it/dettagli/attodigara/7304/fornitura-n-1-serie-di-tappetti-in-gomma-per-il-mezzo-targato-fn454kt-e-n-3-spray-pulisci-cruscotti-per-mezzi-consorziali.html"</f>
        <v>https://portaletrasparenza.consorziobacchiglione.it/dettagli/attodigara/7304/fornitura-n-1-serie-di-tappetti-in-gomma-per-il-mezzo-targato-fn454kt-e-n-3-spray-pulisci-cruscotti-per-mezzi-consorziali.html</v>
      </c>
      <c r="U1445" t="str">
        <f>"https://portaletrasparenza.consorziobacchiglione.it/download/attodigara/7304/63ac45ee95912.PDF"</f>
        <v>https://portaletrasparenza.consorziobacchiglione.it/download/attodigara/7304/63ac45ee95912.PDF</v>
      </c>
      <c r="V144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46" spans="1:22" x14ac:dyDescent="0.3">
      <c r="A1446" t="str">
        <f>"Affidamento"</f>
        <v>Affidamento</v>
      </c>
      <c r="B1446" t="str">
        <f>"Fornitura visualizzatori di livello presso sostegno delle Basse, sostegno Piccolo, sostegno Ricicleria - Governo"</f>
        <v>Fornitura visualizzatori di livello presso sostegno delle Basse, sostegno Piccolo, sostegno Ricicleria - Governo</v>
      </c>
      <c r="C1446" t="str">
        <f>"Z34340C774"</f>
        <v>Z34340C774</v>
      </c>
      <c r="D1446" t="str">
        <f>"24/11/2021"</f>
        <v>24/11/2021</v>
      </c>
      <c r="E1446" t="str">
        <f>""</f>
        <v/>
      </c>
      <c r="F1446" t="str">
        <f>""</f>
        <v/>
      </c>
      <c r="G1446" t="str">
        <f>"2532.29"</f>
        <v>2532.29</v>
      </c>
      <c r="H1446" t="str">
        <f>"Consorzio di bonifica Bacchiglione"</f>
        <v>Consorzio di bonifica Bacchiglione</v>
      </c>
      <c r="I1446" t="str">
        <f>"92223390284"</f>
        <v>92223390284</v>
      </c>
      <c r="J1446" t="str">
        <f>"23-AFFIDAMENTO DIRETTO"</f>
        <v>23-AFFIDAMENTO DIRETTO</v>
      </c>
      <c r="K1446" t="str">
        <f>"23/11/2021"</f>
        <v>23/11/2021</v>
      </c>
      <c r="L1446" t="str">
        <f>"03/12/2021"</f>
        <v>03/12/2021</v>
      </c>
      <c r="M1446" t="str">
        <f>""</f>
        <v/>
      </c>
      <c r="N1446" t="str">
        <f>"Endress + Hauser Italia S.p.A. Via Fratelli di Dio 7 20063 Cernusco S-N MI"</f>
        <v>Endress + Hauser Italia S.p.A. Via Fratelli di Dio 7 20063 Cernusco S-N MI</v>
      </c>
      <c r="O1446" t="str">
        <f>"Endress + Hauser Italia S.p.A. Via Fratelli di Dio 7 20063 Cernusco S-N MI"</f>
        <v>Endress + Hauser Italia S.p.A. Via Fratelli di Dio 7 20063 Cernusco S-N MI</v>
      </c>
      <c r="P1446" t="str">
        <f>"Z34340C774: [2532.29€ ]"</f>
        <v>Z34340C774: [2532.29€ ]</v>
      </c>
      <c r="Q1446" t="str">
        <f>""</f>
        <v/>
      </c>
      <c r="R1446" t="str">
        <f>""</f>
        <v/>
      </c>
      <c r="S1446" t="str">
        <f>""</f>
        <v/>
      </c>
      <c r="T1446" t="str">
        <f>"https://portaletrasparenza.consorziobacchiglione.it/dettagli/attodigara/7303/fornitura-visualizzatori-di-livello-presso-sostegno-delle-basse-sostegno-piccolo-sostegno-ricicleria-governo.html"</f>
        <v>https://portaletrasparenza.consorziobacchiglione.it/dettagli/attodigara/7303/fornitura-visualizzatori-di-livello-presso-sostegno-delle-basse-sostegno-piccolo-sostegno-ricicleria-governo.html</v>
      </c>
      <c r="U1446" t="str">
        <f>"https://portaletrasparenza.consorziobacchiglione.it/download/attodigara/7303/63ac45ee5cc3e.PDF"</f>
        <v>https://portaletrasparenza.consorziobacchiglione.it/download/attodigara/7303/63ac45ee5cc3e.PDF</v>
      </c>
      <c r="V14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47" spans="1:22" x14ac:dyDescent="0.3">
      <c r="A1447" t="str">
        <f>"Affidamento"</f>
        <v>Affidamento</v>
      </c>
      <c r="B1447" t="str">
        <f>"Sostituzione n.4 pneumatici del mezzo targato: EW924ED"</f>
        <v>Sostituzione n.4 pneumatici del mezzo targato: EW924ED</v>
      </c>
      <c r="C1447" t="str">
        <f>"Z2D340BFAF"</f>
        <v>Z2D340BFAF</v>
      </c>
      <c r="D1447" t="str">
        <f>"24/11/2021"</f>
        <v>24/11/2021</v>
      </c>
      <c r="E1447" t="str">
        <f>""</f>
        <v/>
      </c>
      <c r="F1447" t="str">
        <f>""</f>
        <v/>
      </c>
      <c r="G1447" t="str">
        <f>"433.61"</f>
        <v>433.61</v>
      </c>
      <c r="H1447" t="str">
        <f>"Consorzio di bonifica Bacchiglione"</f>
        <v>Consorzio di bonifica Bacchiglione</v>
      </c>
      <c r="I1447" t="str">
        <f>"92223390284"</f>
        <v>92223390284</v>
      </c>
      <c r="J1447" t="str">
        <f>"23-AFFIDAMENTO DIRETTO"</f>
        <v>23-AFFIDAMENTO DIRETTO</v>
      </c>
      <c r="K1447" t="str">
        <f>"23/11/2021"</f>
        <v>23/11/2021</v>
      </c>
      <c r="L1447" t="str">
        <f>"30/11/2021"</f>
        <v>30/11/2021</v>
      </c>
      <c r="M1447" t="str">
        <f>""</f>
        <v/>
      </c>
      <c r="N1447" t="str">
        <f>"Ri.gom.ma S.R.L. Via Orlando, 47 - 30173 Campalto (VE)"</f>
        <v>Ri.gom.ma S.R.L. Via Orlando, 47 - 30173 Campalto (VE)</v>
      </c>
      <c r="O1447" t="str">
        <f>"Ri.gom.ma S.R.L. Via Orlando, 47 - 30173 Campalto (VE)"</f>
        <v>Ri.gom.ma S.R.L. Via Orlando, 47 - 30173 Campalto (VE)</v>
      </c>
      <c r="P1447" t="str">
        <f>"Z2D340BFAF: [433.61€ ]"</f>
        <v>Z2D340BFAF: [433.61€ ]</v>
      </c>
      <c r="Q1447" t="str">
        <f>""</f>
        <v/>
      </c>
      <c r="R1447" t="str">
        <f>""</f>
        <v/>
      </c>
      <c r="S1447" t="str">
        <f>""</f>
        <v/>
      </c>
      <c r="T1447" t="str">
        <f>"https://portaletrasparenza.consorziobacchiglione.it/dettagli/attodigara/7302/sostituzione-n-4-pneumatici-del-mezzo-targato-ew924ed.html"</f>
        <v>https://portaletrasparenza.consorziobacchiglione.it/dettagli/attodigara/7302/sostituzione-n-4-pneumatici-del-mezzo-targato-ew924ed.html</v>
      </c>
      <c r="U1447" t="str">
        <f>"https://portaletrasparenza.consorziobacchiglione.it/download/attodigara/7302/63ac45ee2357e.PDF"</f>
        <v>https://portaletrasparenza.consorziobacchiglione.it/download/attodigara/7302/63ac45ee2357e.PDF</v>
      </c>
      <c r="V144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48" spans="1:22" x14ac:dyDescent="0.3">
      <c r="A1448" t="str">
        <f>"Affidamento"</f>
        <v>Affidamento</v>
      </c>
      <c r="B1448" t="str">
        <f>"Sostituzione n.1 batteria e n.3 lampadine del mezzo con targa: EW930NS"</f>
        <v>Sostituzione n.1 batteria e n.3 lampadine del mezzo con targa: EW930NS</v>
      </c>
      <c r="C1448" t="str">
        <f>"ZA7340EC55"</f>
        <v>ZA7340EC55</v>
      </c>
      <c r="D1448" t="str">
        <f>"24/11/2021"</f>
        <v>24/11/2021</v>
      </c>
      <c r="E1448" t="str">
        <f>""</f>
        <v/>
      </c>
      <c r="F1448" t="str">
        <f>""</f>
        <v/>
      </c>
      <c r="G1448" t="str">
        <f>"179.26"</f>
        <v>179.26</v>
      </c>
      <c r="H1448" t="str">
        <f>"Consorzio di bonifica Bacchiglione"</f>
        <v>Consorzio di bonifica Bacchiglione</v>
      </c>
      <c r="I1448" t="str">
        <f>"92223390284"</f>
        <v>92223390284</v>
      </c>
      <c r="J1448" t="str">
        <f>"23-AFFIDAMENTO DIRETTO"</f>
        <v>23-AFFIDAMENTO DIRETTO</v>
      </c>
      <c r="K1448" t="str">
        <f>"23/11/2021"</f>
        <v>23/11/2021</v>
      </c>
      <c r="L1448" t="str">
        <f>"30/11/2021"</f>
        <v>30/11/2021</v>
      </c>
      <c r="M1448" t="str">
        <f>""</f>
        <v/>
      </c>
      <c r="N1448" t="str">
        <f>"Autoriparazioni Ravazzolo s.r.l. Via Roma 259a 35030 Montemerlo di Cervarese Santa Croce PD"</f>
        <v>Autoriparazioni Ravazzolo s.r.l. Via Roma 259a 35030 Montemerlo di Cervarese Santa Croce PD</v>
      </c>
      <c r="O1448" t="str">
        <f>"Autoriparazioni Ravazzolo s.r.l. Via Roma 259a 35030 Montemerlo di Cervarese Santa Croce PD"</f>
        <v>Autoriparazioni Ravazzolo s.r.l. Via Roma 259a 35030 Montemerlo di Cervarese Santa Croce PD</v>
      </c>
      <c r="P1448" t="str">
        <f>"ZA7340EC55: [0.00€ ]"</f>
        <v>ZA7340EC55: [0.00€ ]</v>
      </c>
      <c r="Q1448" t="str">
        <f>""</f>
        <v/>
      </c>
      <c r="R1448" t="str">
        <f>""</f>
        <v/>
      </c>
      <c r="S1448" t="str">
        <f>""</f>
        <v/>
      </c>
      <c r="T1448" t="str">
        <f>"https://portaletrasparenza.consorziobacchiglione.it/dettagli/attodigara/7306/sostituzione-n-1-batteria-e-n-3-lampadine-del-mezzo-con-targa-ew930ns.html"</f>
        <v>https://portaletrasparenza.consorziobacchiglione.it/dettagli/attodigara/7306/sostituzione-n-1-batteria-e-n-3-lampadine-del-mezzo-con-targa-ew930ns.html</v>
      </c>
      <c r="U1448" t="str">
        <f>"https://portaletrasparenza.consorziobacchiglione.it/download/attodigara/7306/62a210c81a68b.PDF"</f>
        <v>https://portaletrasparenza.consorziobacchiglione.it/download/attodigara/7306/62a210c81a68b.PDF</v>
      </c>
      <c r="V1448">
        <f>(SUBSTITUTE(Tabella1[[#This Row],[Importo di aggiudicazione]],".",","))-(SUBSTITUTE(  SUBSTITUTE(          SUBSTITUTE(Tabella1[[#This Row],[Dettaglio somme liquidate]],Tabella1[[#This Row],[CIG]]&amp;": [",""),"€ ]",""),".",","))</f>
        <v>179.26</v>
      </c>
    </row>
    <row r="1449" spans="1:22" x14ac:dyDescent="0.3">
      <c r="A1449" t="str">
        <f>"Affidamento"</f>
        <v>Affidamento</v>
      </c>
      <c r="B1449" t="str">
        <f>"Fornitura di n 5 Container Scarrabili avente dimensioni come da preventivo, da posizionarsi presso gli impianti ricadenti all interno del Bacino Pratiarcati, per raccolta materiale derivanti dalle operazioni di sgrigliat"</f>
        <v>Fornitura di n 5 Container Scarrabili avente dimensioni come da preventivo, da posizionarsi presso gli impianti ricadenti all interno del Bacino Pratiarcati, per raccolta materiale derivanti dalle operazioni di sgrigliat</v>
      </c>
      <c r="C1449" t="str">
        <f>"ZEA340E0FA"</f>
        <v>ZEA340E0FA</v>
      </c>
      <c r="D1449" t="str">
        <f>"29/11/2021"</f>
        <v>29/11/2021</v>
      </c>
      <c r="E1449" t="str">
        <f>""</f>
        <v/>
      </c>
      <c r="F1449" t="str">
        <f>""</f>
        <v/>
      </c>
      <c r="G1449" t="str">
        <f>"22955.00"</f>
        <v>22955.00</v>
      </c>
      <c r="H1449" t="str">
        <f>"Consorzio di bonifica Bacchiglione"</f>
        <v>Consorzio di bonifica Bacchiglione</v>
      </c>
      <c r="I1449" t="str">
        <f>"92223390284"</f>
        <v>92223390284</v>
      </c>
      <c r="J1449" t="str">
        <f>"23-AFFIDAMENTO DIRETTO"</f>
        <v>23-AFFIDAMENTO DIRETTO</v>
      </c>
      <c r="K1449" t="str">
        <f>"23/11/2021"</f>
        <v>23/11/2021</v>
      </c>
      <c r="L1449" t="str">
        <f>"28/12/2021"</f>
        <v>28/12/2021</v>
      </c>
      <c r="M1449" t="str">
        <f>""</f>
        <v/>
      </c>
      <c r="N1449" t="str">
        <f>"Locatelli Eurocontainers SPA via Toscana 2-4 24055 Cologno al Serio BG"</f>
        <v>Locatelli Eurocontainers SPA via Toscana 2-4 24055 Cologno al Serio BG</v>
      </c>
      <c r="O1449" t="str">
        <f>"Locatelli Eurocontainers SPA via Toscana 2-4 24055 Cologno al Serio BG"</f>
        <v>Locatelli Eurocontainers SPA via Toscana 2-4 24055 Cologno al Serio BG</v>
      </c>
      <c r="P1449" t="s">
        <v>147</v>
      </c>
      <c r="Q1449" t="str">
        <f>""</f>
        <v/>
      </c>
      <c r="R1449" t="str">
        <f>""</f>
        <v/>
      </c>
      <c r="S1449" t="str">
        <f>""</f>
        <v/>
      </c>
      <c r="T1449" t="s">
        <v>31</v>
      </c>
      <c r="U1449" t="str">
        <f>"https://portaletrasparenza.consorziobacchiglione.it/download/attodigara/7305/63ac45f08428b.PDF"</f>
        <v>https://portaletrasparenza.consorziobacchiglione.it/download/attodigara/7305/63ac45f08428b.PDF</v>
      </c>
      <c r="V14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50" spans="1:22" x14ac:dyDescent="0.3">
      <c r="A1450" t="str">
        <f>"Affidamento"</f>
        <v>Affidamento</v>
      </c>
      <c r="B1450" t="str">
        <f>"Controllo semestrale gru su mezzi con targa: EP107XC, PDB49361, EW930NS, DN881SC"</f>
        <v>Controllo semestrale gru su mezzi con targa: EP107XC, PDB49361, EW930NS, DN881SC</v>
      </c>
      <c r="C1450" t="str">
        <f>"Z0B1CB15DF"</f>
        <v>Z0B1CB15DF</v>
      </c>
      <c r="D1450" t="str">
        <f>"04/11/2021"</f>
        <v>04/11/2021</v>
      </c>
      <c r="E1450" t="str">
        <f>""</f>
        <v/>
      </c>
      <c r="F1450" t="str">
        <f>""</f>
        <v/>
      </c>
      <c r="G1450" t="str">
        <f>"952.00"</f>
        <v>952.00</v>
      </c>
      <c r="H1450" t="str">
        <f>"Consorzio di bonifica Bacchiglione"</f>
        <v>Consorzio di bonifica Bacchiglione</v>
      </c>
      <c r="I1450" t="str">
        <f>"92223390284"</f>
        <v>92223390284</v>
      </c>
      <c r="J1450" t="str">
        <f>"23-AFFIDAMENTO DIRETTO"</f>
        <v>23-AFFIDAMENTO DIRETTO</v>
      </c>
      <c r="K1450" t="str">
        <f>"23/12/2021"</f>
        <v>23/12/2021</v>
      </c>
      <c r="L1450" t="str">
        <f>"13/01/2021"</f>
        <v>13/01/2021</v>
      </c>
      <c r="M1450" t="str">
        <f>""</f>
        <v/>
      </c>
      <c r="N1450" t="str">
        <f>"Moressa s.r.l. Via Cuccara 2 35020 Due Carrare PD"</f>
        <v>Moressa s.r.l. Via Cuccara 2 35020 Due Carrare PD</v>
      </c>
      <c r="O1450" t="str">
        <f>"Moressa s.r.l. Via Cuccara 2 35020 Due Carrare PD"</f>
        <v>Moressa s.r.l. Via Cuccara 2 35020 Due Carrare PD</v>
      </c>
      <c r="P1450" t="s">
        <v>301</v>
      </c>
      <c r="Q1450" t="str">
        <f>""</f>
        <v/>
      </c>
      <c r="R1450" t="str">
        <f>""</f>
        <v/>
      </c>
      <c r="S1450" t="str">
        <f>""</f>
        <v/>
      </c>
      <c r="T1450" t="str">
        <f>"https://portaletrasparenza.consorziobacchiglione.it/dettagli/attodigara/1037/controllo-semestrale-gru-su-mezzi-con-targa-ep107xc-pdb49361-ew930ns-dn881sc.html"</f>
        <v>https://portaletrasparenza.consorziobacchiglione.it/dettagli/attodigara/1037/controllo-semestrale-gru-su-mezzi-con-targa-ep107xc-pdb49361-ew930ns-dn881sc.html</v>
      </c>
      <c r="U1450" t="str">
        <f>""</f>
        <v/>
      </c>
      <c r="V145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51" spans="1:22" x14ac:dyDescent="0.3">
      <c r="A1451" t="str">
        <f>"Affidamento"</f>
        <v>Affidamento</v>
      </c>
      <c r="B1451" t="str">
        <f>"Fornitura n 16 rotoli di carta GR. 90 H 0,914 x 50 mt. per plotter , n 1 cartuccia codice C9403A, n 1 cartuccia codice C9370A, n 1 cartuccia codice C9372A ,n 1 cartuccia codice C9373A, n 1 cartuccia codice C9374A per sed"</f>
        <v>Fornitura n 16 rotoli di carta GR. 90 H 0,914 x 50 mt. per plotter , n 1 cartuccia codice C9403A, n 1 cartuccia codice C9370A, n 1 cartuccia codice C9372A ,n 1 cartuccia codice C9373A, n 1 cartuccia codice C9374A per sed</v>
      </c>
      <c r="C1451" t="str">
        <f>"Z111CB1878"</f>
        <v>Z111CB1878</v>
      </c>
      <c r="D1451" t="str">
        <f>"04/11/2021"</f>
        <v>04/11/2021</v>
      </c>
      <c r="E1451" t="str">
        <f>""</f>
        <v/>
      </c>
      <c r="F1451" t="str">
        <f>""</f>
        <v/>
      </c>
      <c r="G1451" t="str">
        <f>"409.36"</f>
        <v>409.36</v>
      </c>
      <c r="H1451" t="str">
        <f>"Consorzio di bonifica Bacchiglione"</f>
        <v>Consorzio di bonifica Bacchiglione</v>
      </c>
      <c r="I1451" t="str">
        <f>"92223390284"</f>
        <v>92223390284</v>
      </c>
      <c r="J1451" t="str">
        <f>"23-AFFIDAMENTO DIRETTO"</f>
        <v>23-AFFIDAMENTO DIRETTO</v>
      </c>
      <c r="K1451" t="str">
        <f>"23/12/2021"</f>
        <v>23/12/2021</v>
      </c>
      <c r="L1451" t="str">
        <f>"23/05/2021"</f>
        <v>23/05/2021</v>
      </c>
      <c r="M1451" t="str">
        <f>""</f>
        <v/>
      </c>
      <c r="N1451" t="str">
        <f>"BM OFFICE E SERVICE SRLS Via dalla Zuanna 13 36012 Asiago VI"</f>
        <v>BM OFFICE E SERVICE SRLS Via dalla Zuanna 13 36012 Asiago VI</v>
      </c>
      <c r="O1451" t="str">
        <f>"BM OFFICE E SERVICE SRLS Via dalla Zuanna 13 36012 Asiago VI"</f>
        <v>BM OFFICE E SERVICE SRLS Via dalla Zuanna 13 36012 Asiago VI</v>
      </c>
      <c r="P1451" t="str">
        <f>"Z111CB1878: [409.36€ ]"</f>
        <v>Z111CB1878: [409.36€ ]</v>
      </c>
      <c r="Q1451" t="str">
        <f>""</f>
        <v/>
      </c>
      <c r="R1451" t="str">
        <f>""</f>
        <v/>
      </c>
      <c r="S1451" t="str">
        <f>""</f>
        <v/>
      </c>
      <c r="T1451" t="s">
        <v>34</v>
      </c>
      <c r="U1451" t="str">
        <f>""</f>
        <v/>
      </c>
      <c r="V145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52" spans="1:22" x14ac:dyDescent="0.3">
      <c r="A1452" t="str">
        <f>"Affidamento"</f>
        <v>Affidamento</v>
      </c>
      <c r="B1452" t="str">
        <f>"Controllo semestrale gru con rilascio scheda di manutenzione del mezzo targato: DN881SC"</f>
        <v>Controllo semestrale gru con rilascio scheda di manutenzione del mezzo targato: DN881SC</v>
      </c>
      <c r="C1452" t="str">
        <f>"Z2734942A1"</f>
        <v>Z2734942A1</v>
      </c>
      <c r="D1452" t="str">
        <f>"23/12/2021"</f>
        <v>23/12/2021</v>
      </c>
      <c r="E1452" t="str">
        <f>""</f>
        <v/>
      </c>
      <c r="F1452" t="str">
        <f>""</f>
        <v/>
      </c>
      <c r="G1452" t="str">
        <f>"240.00"</f>
        <v>240.00</v>
      </c>
      <c r="H1452" t="str">
        <f>"Consorzio di bonifica Bacchiglione"</f>
        <v>Consorzio di bonifica Bacchiglione</v>
      </c>
      <c r="I1452" t="str">
        <f>"92223390284"</f>
        <v>92223390284</v>
      </c>
      <c r="J1452" t="str">
        <f>"23-AFFIDAMENTO DIRETTO"</f>
        <v>23-AFFIDAMENTO DIRETTO</v>
      </c>
      <c r="K1452" t="str">
        <f>"23/12/2021"</f>
        <v>23/12/2021</v>
      </c>
      <c r="L1452" t="str">
        <f>"31/12/2021"</f>
        <v>31/12/2021</v>
      </c>
      <c r="M1452" t="str">
        <f>""</f>
        <v/>
      </c>
      <c r="N1452" t="str">
        <f>"Moressa s.r.l. Via Cuccara 2 35020 Due Carrare PD"</f>
        <v>Moressa s.r.l. Via Cuccara 2 35020 Due Carrare PD</v>
      </c>
      <c r="O1452" t="str">
        <f>"Moressa s.r.l. Via Cuccara 2 35020 Due Carrare PD"</f>
        <v>Moressa s.r.l. Via Cuccara 2 35020 Due Carrare PD</v>
      </c>
      <c r="P1452" t="str">
        <f>"Z2734942A1: [240.00€ ]"</f>
        <v>Z2734942A1: [240.00€ ]</v>
      </c>
      <c r="Q1452" t="str">
        <f>""</f>
        <v/>
      </c>
      <c r="R1452" t="str">
        <f>""</f>
        <v/>
      </c>
      <c r="S1452" t="str">
        <f>""</f>
        <v/>
      </c>
      <c r="T1452" t="str">
        <f>"https://portaletrasparenza.consorziobacchiglione.it/dettagli/attodigara/7377/controllo-semestrale-gru-con-rilascio-scheda-di-manutenzione-del-mezzo-targato-dn881sc.html"</f>
        <v>https://portaletrasparenza.consorziobacchiglione.it/dettagli/attodigara/7377/controllo-semestrale-gru-con-rilascio-scheda-di-manutenzione-del-mezzo-targato-dn881sc.html</v>
      </c>
      <c r="U1452" t="str">
        <f>"https://portaletrasparenza.consorziobacchiglione.it/download/attodigara/7377/63ac46006050f.PDF"</f>
        <v>https://portaletrasparenza.consorziobacchiglione.it/download/attodigara/7377/63ac46006050f.PDF</v>
      </c>
      <c r="V14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53" spans="1:22" x14ac:dyDescent="0.3">
      <c r="A1453" t="str">
        <f>"Affidamento"</f>
        <v>Affidamento</v>
      </c>
      <c r="B1453" t="str">
        <f>"Indagine geologica e geotecnica completa di relazione nell'area di posa del Gruppo Elettrogeno presso l'imp. idrovoro \'Madonnetta\' - Processo ID 012-11."</f>
        <v>Indagine geologica e geotecnica completa di relazione nell'area di posa del Gruppo Elettrogeno presso l'imp. idrovoro \'Madonnetta\' - Processo ID 012-11.</v>
      </c>
      <c r="C1453" t="str">
        <f>"Z1318ACFD7"</f>
        <v>Z1318ACFD7</v>
      </c>
      <c r="D1453" t="str">
        <f>"04/11/2021"</f>
        <v>04/11/2021</v>
      </c>
      <c r="E1453" t="str">
        <f>""</f>
        <v/>
      </c>
      <c r="F1453" t="str">
        <f>""</f>
        <v/>
      </c>
      <c r="G1453" t="str">
        <f>"745.00"</f>
        <v>745.00</v>
      </c>
      <c r="H1453" t="str">
        <f>"Consorzio di bonifica Bacchiglione"</f>
        <v>Consorzio di bonifica Bacchiglione</v>
      </c>
      <c r="I1453" t="str">
        <f>"92223390284"</f>
        <v>92223390284</v>
      </c>
      <c r="J1453" t="str">
        <f>"23-AFFIDAMENTO DIRETTO"</f>
        <v>23-AFFIDAMENTO DIRETTO</v>
      </c>
      <c r="K1453" t="str">
        <f>"24/02/2021"</f>
        <v>24/02/2021</v>
      </c>
      <c r="L1453" t="str">
        <f>"15/04/2021"</f>
        <v>15/04/2021</v>
      </c>
      <c r="M1453" t="str">
        <f>""</f>
        <v/>
      </c>
      <c r="N1453" t="str">
        <f>"Geologia Tecnica sas di Vorlicek P.A. E C."</f>
        <v>Geologia Tecnica sas di Vorlicek P.A. E C.</v>
      </c>
      <c r="O1453" t="str">
        <f>"Geologia Tecnica sas di Vorlicek P.A. E C."</f>
        <v>Geologia Tecnica sas di Vorlicek P.A. E C.</v>
      </c>
      <c r="P1453" t="str">
        <f>"Z1318ACFD7: [745.00€ ]"</f>
        <v>Z1318ACFD7: [745.00€ ]</v>
      </c>
      <c r="Q1453" t="str">
        <f>""</f>
        <v/>
      </c>
      <c r="R1453" t="str">
        <f>""</f>
        <v/>
      </c>
      <c r="S1453" t="str">
        <f>""</f>
        <v/>
      </c>
      <c r="T1453" t="str">
        <f>"https://portaletrasparenza.consorziobacchiglione.it/dettagli/attodigara/176/indagine-geologica-e-geotecnica-completa-di-relazione-nell-area-di-posa-del-gruppo-elettrogeno-presso-l-imp-idrovoro-madonnetta-processo-id-012-11.html"</f>
        <v>https://portaletrasparenza.consorziobacchiglione.it/dettagli/attodigara/176/indagine-geologica-e-geotecnica-completa-di-relazione-nell-area-di-posa-del-gruppo-elettrogeno-presso-l-imp-idrovoro-madonnetta-processo-id-012-11.html</v>
      </c>
      <c r="U1453" t="str">
        <f>""</f>
        <v/>
      </c>
      <c r="V14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54" spans="1:22" x14ac:dyDescent="0.3">
      <c r="A1454" t="str">
        <f>"Affidamento"</f>
        <v>Affidamento</v>
      </c>
      <c r="B1454" t="str">
        <f>"BACINO SESTA PRESA - SECONDA SEZIONE - Lavori di fornitura e posa in opera di materiale inerte presso i cantieri di lavoro di ripresa spondale condotti nel comprensorio del Consorzio di bonifica Bacchiglione 28.000 quintali con opzione unilate"</f>
        <v>BACINO SESTA PRESA - SECONDA SEZIONE - Lavori di fornitura e posa in opera di materiale inerte presso i cantieri di lavoro di ripresa spondale condotti nel comprensorio del Consorzio di bonifica Bacchiglione 28.000 quintali con opzione unilate</v>
      </c>
      <c r="C1454" t="str">
        <f>"8622642D44"</f>
        <v>8622642D44</v>
      </c>
      <c r="D1454" t="str">
        <f>"02/03/2021"</f>
        <v>02/03/2021</v>
      </c>
      <c r="E1454" t="str">
        <f>""</f>
        <v/>
      </c>
      <c r="F1454" t="str">
        <f>""</f>
        <v/>
      </c>
      <c r="G1454" t="str">
        <f>"147027.18"</f>
        <v>147027.18</v>
      </c>
      <c r="H1454" t="str">
        <f>"Consorzio di bonifica Bacchiglione"</f>
        <v>Consorzio di bonifica Bacchiglione</v>
      </c>
      <c r="I1454" t="str">
        <f>"92223390284"</f>
        <v>92223390284</v>
      </c>
      <c r="J1454" t="str">
        <f>"23-AFFIDAMENTO DIRETTO"</f>
        <v>23-AFFIDAMENTO DIRETTO</v>
      </c>
      <c r="K1454" t="str">
        <f>"24/02/2021"</f>
        <v>24/02/2021</v>
      </c>
      <c r="L1454" t="str">
        <f>"31/12/2021"</f>
        <v>31/12/2021</v>
      </c>
      <c r="M1454" t="str">
        <f>""</f>
        <v/>
      </c>
      <c r="N1454" t="str">
        <f>"Ecovie s.r.l."</f>
        <v>Ecovie s.r.l.</v>
      </c>
      <c r="O1454" t="str">
        <f>"Ecovie s.r.l."</f>
        <v>Ecovie s.r.l.</v>
      </c>
      <c r="P1454" t="s">
        <v>131</v>
      </c>
      <c r="Q1454" t="str">
        <f>""</f>
        <v/>
      </c>
      <c r="R1454" t="str">
        <f>""</f>
        <v/>
      </c>
      <c r="S1454" t="str">
        <f>""</f>
        <v/>
      </c>
      <c r="T1454" t="s">
        <v>113</v>
      </c>
      <c r="U1454" t="str">
        <f>"https://portaletrasparenza.consorziobacchiglione.it/download/attodigara/6489/63e646e09a4d6.PDF"</f>
        <v>https://portaletrasparenza.consorziobacchiglione.it/download/attodigara/6489/63e646e09a4d6.PDF</v>
      </c>
      <c r="V14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55" spans="1:22" x14ac:dyDescent="0.3">
      <c r="A1455" t="str">
        <f>"Affidamento"</f>
        <v>Affidamento</v>
      </c>
      <c r="B1455" t="str">
        <f>"Acquisto Tavoletta per elaborazione grafica di disegno digitale per ufficio manutenzione"</f>
        <v>Acquisto Tavoletta per elaborazione grafica di disegno digitale per ufficio manutenzione</v>
      </c>
      <c r="C1455" t="str">
        <f>"ZDF30C424B"</f>
        <v>ZDF30C424B</v>
      </c>
      <c r="D1455" t="str">
        <f>"02/03/2021"</f>
        <v>02/03/2021</v>
      </c>
      <c r="E1455" t="str">
        <f>""</f>
        <v/>
      </c>
      <c r="F1455" t="str">
        <f>""</f>
        <v/>
      </c>
      <c r="G1455" t="str">
        <f>"68.00"</f>
        <v>68.00</v>
      </c>
      <c r="H1455" t="str">
        <f>"Consorzio di bonifica Bacchiglione"</f>
        <v>Consorzio di bonifica Bacchiglione</v>
      </c>
      <c r="I1455" t="str">
        <f>"92223390284"</f>
        <v>92223390284</v>
      </c>
      <c r="J1455" t="str">
        <f>"23-AFFIDAMENTO DIRETTO"</f>
        <v>23-AFFIDAMENTO DIRETTO</v>
      </c>
      <c r="K1455" t="str">
        <f>"24/02/2021"</f>
        <v>24/02/2021</v>
      </c>
      <c r="L1455" t="str">
        <f>"18/03/2021"</f>
        <v>18/03/2021</v>
      </c>
      <c r="M1455" t="str">
        <f>""</f>
        <v/>
      </c>
      <c r="N1455" t="str">
        <f>"Hard Service S.r.l. Via del Progresso, 2 35010 Peraga di Vigonza (PD)"</f>
        <v>Hard Service S.r.l. Via del Progresso, 2 35010 Peraga di Vigonza (PD)</v>
      </c>
      <c r="O1455" t="str">
        <f>"Hard Service S.r.l. Via del Progresso, 2 35010 Peraga di Vigonza (PD)"</f>
        <v>Hard Service S.r.l. Via del Progresso, 2 35010 Peraga di Vigonza (PD)</v>
      </c>
      <c r="P1455" t="str">
        <f>"ZDF30C424B: [68.00€ ]"</f>
        <v>ZDF30C424B: [68.00€ ]</v>
      </c>
      <c r="Q1455" t="str">
        <f>""</f>
        <v/>
      </c>
      <c r="R1455" t="str">
        <f>""</f>
        <v/>
      </c>
      <c r="S1455" t="str">
        <f>""</f>
        <v/>
      </c>
      <c r="T1455" t="str">
        <f>"https://portaletrasparenza.consorziobacchiglione.it/dettagli/attodigara/6656/acquisto-tavoletta-per-elaborazione-grafica-di-disegno-digitale-per-ufficio-manutenzione.html"</f>
        <v>https://portaletrasparenza.consorziobacchiglione.it/dettagli/attodigara/6656/acquisto-tavoletta-per-elaborazione-grafica-di-disegno-digitale-per-ufficio-manutenzione.html</v>
      </c>
      <c r="U1455" t="str">
        <f>"https://portaletrasparenza.consorziobacchiglione.it/download/attodigara/6656/63ac4563473d8.PDF"</f>
        <v>https://portaletrasparenza.consorziobacchiglione.it/download/attodigara/6656/63ac4563473d8.PDF</v>
      </c>
      <c r="V14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56" spans="1:22" x14ac:dyDescent="0.3">
      <c r="A1456" t="str">
        <f>"Affidamento"</f>
        <v>Affidamento</v>
      </c>
      <c r="B1456" t="str">
        <f>"Interventi di ripristino delle sponde franate dello scolo Fiumicello e di ripristino della sezione mediante lo scavo dei sedimenti depositati sul fondo - lavoro propedeutico alla redazione del progetto"</f>
        <v>Interventi di ripristino delle sponde franate dello scolo Fiumicello e di ripristino della sezione mediante lo scavo dei sedimenti depositati sul fondo - lavoro propedeutico alla redazione del progetto</v>
      </c>
      <c r="C1456" t="str">
        <f>"Z3330C3640"</f>
        <v>Z3330C3640</v>
      </c>
      <c r="D1456" t="str">
        <f>"26/02/2021"</f>
        <v>26/02/2021</v>
      </c>
      <c r="E1456" t="str">
        <f>""</f>
        <v/>
      </c>
      <c r="F1456" t="str">
        <f>""</f>
        <v/>
      </c>
      <c r="G1456" t="str">
        <f>"12180.00"</f>
        <v>12180.00</v>
      </c>
      <c r="H1456" t="str">
        <f>"Consorzio di bonifica Bacchiglione"</f>
        <v>Consorzio di bonifica Bacchiglione</v>
      </c>
      <c r="I1456" t="str">
        <f>"92223390284"</f>
        <v>92223390284</v>
      </c>
      <c r="J1456" t="str">
        <f>"23-AFFIDAMENTO DIRETTO"</f>
        <v>23-AFFIDAMENTO DIRETTO</v>
      </c>
      <c r="K1456" t="str">
        <f>"24/02/2021"</f>
        <v>24/02/2021</v>
      </c>
      <c r="L1456" t="str">
        <f>"08/10/2021"</f>
        <v>08/10/2021</v>
      </c>
      <c r="M1456" t="str">
        <f>""</f>
        <v/>
      </c>
      <c r="N1456" t="str">
        <f>"Studio tecnico Orlando Geom. Giuseppe Via Alvise Angelieri, 4-1 35020 Codevigo (PD) | Geom. Carraro Michela Via Gauslino, n.3 35028 Piove di Sacco (PD) | Geom.Eros Zanella Via Della Repubblica, 22-A 30010 - Campagna Lupia (VE)"</f>
        <v>Studio tecnico Orlando Geom. Giuseppe Via Alvise Angelieri, 4-1 35020 Codevigo (PD) | Geom. Carraro Michela Via Gauslino, n.3 35028 Piove di Sacco (PD) | Geom.Eros Zanella Via Della Repubblica, 22-A 30010 - Campagna Lupia (VE)</v>
      </c>
      <c r="O1456" t="str">
        <f>"STUDIO TECNICO Orlando Geom. Giuseppe"</f>
        <v>STUDIO TECNICO Orlando Geom. Giuseppe</v>
      </c>
      <c r="P1456" t="str">
        <f>"Z3330C3640: [12180.00€ ]"</f>
        <v>Z3330C3640: [12180.00€ ]</v>
      </c>
      <c r="Q1456" t="str">
        <f>""</f>
        <v/>
      </c>
      <c r="R1456" t="str">
        <f>""</f>
        <v/>
      </c>
      <c r="S1456" t="str">
        <f>""</f>
        <v/>
      </c>
      <c r="T1456" t="s">
        <v>115</v>
      </c>
      <c r="U1456" t="str">
        <f>"https://portaletrasparenza.consorziobacchiglione.it/download/attodigara/6655/63ac456226584.PDF"</f>
        <v>https://portaletrasparenza.consorziobacchiglione.it/download/attodigara/6655/63ac456226584.PDF</v>
      </c>
      <c r="V145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57" spans="1:22" x14ac:dyDescent="0.3">
      <c r="A1457" t="str">
        <f>"Affidamento"</f>
        <v>Affidamento</v>
      </c>
      <c r="B1457" t="str">
        <f>"Esecuzione Rapid Test Device (Abbott) per COVID -19 nel periodo 2020 per il personale d'ufficio e periferico"</f>
        <v>Esecuzione Rapid Test Device (Abbott) per COVID -19 nel periodo 2020 per il personale d'ufficio e periferico</v>
      </c>
      <c r="C1457" t="str">
        <f>"Z9B30C69D0"</f>
        <v>Z9B30C69D0</v>
      </c>
      <c r="D1457" t="str">
        <f>"26/02/2021"</f>
        <v>26/02/2021</v>
      </c>
      <c r="E1457" t="str">
        <f>""</f>
        <v/>
      </c>
      <c r="F1457" t="str">
        <f>""</f>
        <v/>
      </c>
      <c r="G1457" t="str">
        <f>"2424.75"</f>
        <v>2424.75</v>
      </c>
      <c r="H1457" t="str">
        <f>"Consorzio di bonifica Bacchiglione"</f>
        <v>Consorzio di bonifica Bacchiglione</v>
      </c>
      <c r="I1457" t="str">
        <f>"92223390284"</f>
        <v>92223390284</v>
      </c>
      <c r="J1457" t="str">
        <f>"23-AFFIDAMENTO DIRETTO"</f>
        <v>23-AFFIDAMENTO DIRETTO</v>
      </c>
      <c r="K1457" t="str">
        <f>"24/02/2021"</f>
        <v>24/02/2021</v>
      </c>
      <c r="L1457" t="str">
        <f>"31/12/2021"</f>
        <v>31/12/2021</v>
      </c>
      <c r="M1457" t="str">
        <f>""</f>
        <v/>
      </c>
      <c r="N1457" t="str">
        <f>"Poliambulatorio Medico Serena SRL Via Girolamo Fabbrici D'Acquapendente 4-B (PD)"</f>
        <v>Poliambulatorio Medico Serena SRL Via Girolamo Fabbrici D'Acquapendente 4-B (PD)</v>
      </c>
      <c r="O1457" t="str">
        <f>"Poliambulatorio Medico Serena SRL Via Girolamo Fabbrici D'Acquapendente 4-B (PD)"</f>
        <v>Poliambulatorio Medico Serena SRL Via Girolamo Fabbrici D'Acquapendente 4-B (PD)</v>
      </c>
      <c r="P1457" t="str">
        <f>"Z9B30C69D0: [0.00€ ]"</f>
        <v>Z9B30C69D0: [0.00€ ]</v>
      </c>
      <c r="Q1457" t="str">
        <f>""</f>
        <v/>
      </c>
      <c r="R1457" t="str">
        <f>""</f>
        <v/>
      </c>
      <c r="S1457" t="str">
        <f>""</f>
        <v/>
      </c>
      <c r="T1457" t="str">
        <f>"https://portaletrasparenza.consorziobacchiglione.it/dettagli/attodigara/6657/esecuzione-rapid-test-device-abbott-per-covid-19-nel-periodo-2020-per-il-personale-d-ufficio-e-periferico.html"</f>
        <v>https://portaletrasparenza.consorziobacchiglione.it/dettagli/attodigara/6657/esecuzione-rapid-test-device-abbott-per-covid-19-nel-periodo-2020-per-il-personale-d-ufficio-e-periferico.html</v>
      </c>
      <c r="U1457" t="str">
        <f>"https://portaletrasparenza.consorziobacchiglione.it/download/attodigara/6657/62a2098be8172.PDF"</f>
        <v>https://portaletrasparenza.consorziobacchiglione.it/download/attodigara/6657/62a2098be8172.PDF</v>
      </c>
      <c r="V1457">
        <f>(SUBSTITUTE(Tabella1[[#This Row],[Importo di aggiudicazione]],".",","))-(SUBSTITUTE(  SUBSTITUTE(          SUBSTITUTE(Tabella1[[#This Row],[Dettaglio somme liquidate]],Tabella1[[#This Row],[CIG]]&amp;": [",""),"€ ]",""),".",","))</f>
        <v>2424.75</v>
      </c>
    </row>
    <row r="1458" spans="1:22" x14ac:dyDescent="0.3">
      <c r="A1458" t="str">
        <f>"Affidamento"</f>
        <v>Affidamento</v>
      </c>
      <c r="B1458" t="str">
        <f>"Acquisizione servizio di manutenzione e gestione del fotocopiatore consorziale situato presso il centro operativo di S. Margherita di Codevigo."</f>
        <v>Acquisizione servizio di manutenzione e gestione del fotocopiatore consorziale situato presso il centro operativo di S. Margherita di Codevigo.</v>
      </c>
      <c r="C1458" t="str">
        <f>"Z401938BAC"</f>
        <v>Z401938BAC</v>
      </c>
      <c r="D1458" t="str">
        <f>"04/11/2021"</f>
        <v>04/11/2021</v>
      </c>
      <c r="E1458" t="str">
        <f>""</f>
        <v/>
      </c>
      <c r="F1458" t="str">
        <f>""</f>
        <v/>
      </c>
      <c r="G1458" t="str">
        <f>"2058.10"</f>
        <v>2058.10</v>
      </c>
      <c r="H1458" t="str">
        <f>"Consorzio di bonifica Bacchiglione"</f>
        <v>Consorzio di bonifica Bacchiglione</v>
      </c>
      <c r="I1458" t="str">
        <f>"92223390284"</f>
        <v>92223390284</v>
      </c>
      <c r="J1458" t="str">
        <f>"23-AFFIDAMENTO DIRETTO"</f>
        <v>23-AFFIDAMENTO DIRETTO</v>
      </c>
      <c r="K1458" t="str">
        <f>"24/03/2021"</f>
        <v>24/03/2021</v>
      </c>
      <c r="L1458" t="str">
        <f>"31/12/2021"</f>
        <v>31/12/2021</v>
      </c>
      <c r="M1458" t="str">
        <f>""</f>
        <v/>
      </c>
      <c r="N1458" t="str">
        <f>"GBR ROSSETTO S.P.A."</f>
        <v>GBR ROSSETTO S.P.A.</v>
      </c>
      <c r="O1458" t="str">
        <f>"GBR ROSSETTO S.P.A."</f>
        <v>GBR ROSSETTO S.P.A.</v>
      </c>
      <c r="P1458" t="s">
        <v>215</v>
      </c>
      <c r="Q1458" t="str">
        <f>""</f>
        <v/>
      </c>
      <c r="R1458" t="str">
        <f>""</f>
        <v/>
      </c>
      <c r="S1458" t="str">
        <f>""</f>
        <v/>
      </c>
      <c r="T1458" t="str">
        <f>"https://portaletrasparenza.consorziobacchiglione.it/dettagli/attodigara/259/acquisizione-servizio-di-manutenzione-e-gestione-del-fotocopiatore-consorziale-situato-presso-il-centro-operativo-di-s-margherita-di-codevigo.html"</f>
        <v>https://portaletrasparenza.consorziobacchiglione.it/dettagli/attodigara/259/acquisizione-servizio-di-manutenzione-e-gestione-del-fotocopiatore-consorziale-situato-presso-il-centro-operativo-di-s-margherita-di-codevigo.html</v>
      </c>
      <c r="U1458" t="str">
        <f>""</f>
        <v/>
      </c>
      <c r="V14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59" spans="1:22" x14ac:dyDescent="0.3">
      <c r="A1459" t="str">
        <f>"Affidamento"</f>
        <v>Affidamento</v>
      </c>
      <c r="B1459" t="str">
        <f>"Acquisizione servizio di manutenzione e gestione della stampante di rete in uso presso l'area amministrativa. NASHUA 7425"</f>
        <v>Acquisizione servizio di manutenzione e gestione della stampante di rete in uso presso l'area amministrativa. NASHUA 7425</v>
      </c>
      <c r="C1459" t="str">
        <f>"Z4C1938CF2"</f>
        <v>Z4C1938CF2</v>
      </c>
      <c r="D1459" t="str">
        <f>"04/11/2021"</f>
        <v>04/11/2021</v>
      </c>
      <c r="E1459" t="str">
        <f>""</f>
        <v/>
      </c>
      <c r="F1459" t="str">
        <f>""</f>
        <v/>
      </c>
      <c r="G1459" t="str">
        <f>"1942.92"</f>
        <v>1942.92</v>
      </c>
      <c r="H1459" t="str">
        <f>"Consorzio di bonifica Bacchiglione"</f>
        <v>Consorzio di bonifica Bacchiglione</v>
      </c>
      <c r="I1459" t="str">
        <f>"92223390284"</f>
        <v>92223390284</v>
      </c>
      <c r="J1459" t="str">
        <f>"23-AFFIDAMENTO DIRETTO"</f>
        <v>23-AFFIDAMENTO DIRETTO</v>
      </c>
      <c r="K1459" t="str">
        <f>"24/03/2021"</f>
        <v>24/03/2021</v>
      </c>
      <c r="L1459" t="str">
        <f>"31/12/2021"</f>
        <v>31/12/2021</v>
      </c>
      <c r="M1459" t="str">
        <f>""</f>
        <v/>
      </c>
      <c r="N1459" t="str">
        <f>"GBR ROSSETTO S.P.A."</f>
        <v>GBR ROSSETTO S.P.A.</v>
      </c>
      <c r="O1459" t="str">
        <f>"GBR ROSSETTO S.P.A."</f>
        <v>GBR ROSSETTO S.P.A.</v>
      </c>
      <c r="P1459" t="s">
        <v>303</v>
      </c>
      <c r="Q1459" t="str">
        <f>""</f>
        <v/>
      </c>
      <c r="R1459" t="str">
        <f>""</f>
        <v/>
      </c>
      <c r="S1459" t="str">
        <f>""</f>
        <v/>
      </c>
      <c r="T1459" t="str">
        <f>"https://portaletrasparenza.consorziobacchiglione.it/dettagli/attodigara/261/acquisizione-servizio-di-manutenzione-e-gestione-della-stampante-di-rete-in-uso-presso-l-area-amministrativa-nashua-7425.html"</f>
        <v>https://portaletrasparenza.consorziobacchiglione.it/dettagli/attodigara/261/acquisizione-servizio-di-manutenzione-e-gestione-della-stampante-di-rete-in-uso-presso-l-area-amministrativa-nashua-7425.html</v>
      </c>
      <c r="U1459" t="str">
        <f>""</f>
        <v/>
      </c>
      <c r="V145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60" spans="1:22" x14ac:dyDescent="0.3">
      <c r="A1460" t="str">
        <f>"Affidamento"</f>
        <v>Affidamento</v>
      </c>
      <c r="B1460" t="str">
        <f>"Fornitura materiale edile per scolo Brentella vecchia e C.O.S.Margherita."</f>
        <v>Fornitura materiale edile per scolo Brentella vecchia e C.O.S.Margherita.</v>
      </c>
      <c r="C1460" t="str">
        <f>"Z3A19270A9"</f>
        <v>Z3A19270A9</v>
      </c>
      <c r="D1460" t="str">
        <f>"04/11/2021"</f>
        <v>04/11/2021</v>
      </c>
      <c r="E1460" t="str">
        <f>""</f>
        <v/>
      </c>
      <c r="F1460" t="str">
        <f>""</f>
        <v/>
      </c>
      <c r="G1460" t="str">
        <f>"138.56"</f>
        <v>138.56</v>
      </c>
      <c r="H1460" t="str">
        <f>"Consorzio di bonifica Bacchiglione"</f>
        <v>Consorzio di bonifica Bacchiglione</v>
      </c>
      <c r="I1460" t="str">
        <f>"92223390284"</f>
        <v>92223390284</v>
      </c>
      <c r="J1460" t="str">
        <f>"23-AFFIDAMENTO DIRETTO"</f>
        <v>23-AFFIDAMENTO DIRETTO</v>
      </c>
      <c r="K1460" t="str">
        <f>"24/03/2021"</f>
        <v>24/03/2021</v>
      </c>
      <c r="L1460" t="str">
        <f>"18/07/2021"</f>
        <v>18/07/2021</v>
      </c>
      <c r="M1460" t="str">
        <f>""</f>
        <v/>
      </c>
      <c r="N1460" t="str">
        <f>"Idronord s.r.l. Via delle Industrie 3C 30036 Santa Maria Di Sala VE"</f>
        <v>Idronord s.r.l. Via delle Industrie 3C 30036 Santa Maria Di Sala VE</v>
      </c>
      <c r="O1460" t="str">
        <f>"Idronord s.r.l. Via delle Industrie 3C 30036 Santa Maria Di Sala VE"</f>
        <v>Idronord s.r.l. Via delle Industrie 3C 30036 Santa Maria Di Sala VE</v>
      </c>
      <c r="P1460" t="str">
        <f>"Z3A19270A9: [138.56€ ]"</f>
        <v>Z3A19270A9: [138.56€ ]</v>
      </c>
      <c r="Q1460" t="str">
        <f>""</f>
        <v/>
      </c>
      <c r="R1460" t="str">
        <f>""</f>
        <v/>
      </c>
      <c r="S1460" t="str">
        <f>""</f>
        <v/>
      </c>
      <c r="T1460" t="str">
        <f>"https://portaletrasparenza.consorziobacchiglione.it/dettagli/attodigara/269/fornitura-materiale-edile-per-scolo-brentella-vecchia-e-c-o-s-margherita.html"</f>
        <v>https://portaletrasparenza.consorziobacchiglione.it/dettagli/attodigara/269/fornitura-materiale-edile-per-scolo-brentella-vecchia-e-c-o-s-margherita.html</v>
      </c>
      <c r="U1460" t="str">
        <f>""</f>
        <v/>
      </c>
      <c r="V14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61" spans="1:22" x14ac:dyDescent="0.3">
      <c r="A1461" t="str">
        <f>"Affidamento"</f>
        <v>Affidamento</v>
      </c>
      <c r="B1461" t="str">
        <f>"Manutenzione e riparazione mezzi con targa : EP107XC, AGK711."</f>
        <v>Manutenzione e riparazione mezzi con targa : EP107XC, AGK711.</v>
      </c>
      <c r="C1461" t="str">
        <f>"Z5F1926FD9"</f>
        <v>Z5F1926FD9</v>
      </c>
      <c r="D1461" t="str">
        <f>"04/11/2021"</f>
        <v>04/11/2021</v>
      </c>
      <c r="E1461" t="str">
        <f>""</f>
        <v/>
      </c>
      <c r="F1461" t="str">
        <f>""</f>
        <v/>
      </c>
      <c r="G1461" t="str">
        <f>"180.00"</f>
        <v>180.00</v>
      </c>
      <c r="H1461" t="str">
        <f>"Consorzio di bonifica Bacchiglione"</f>
        <v>Consorzio di bonifica Bacchiglione</v>
      </c>
      <c r="I1461" t="str">
        <f>"92223390284"</f>
        <v>92223390284</v>
      </c>
      <c r="J1461" t="str">
        <f>"23-AFFIDAMENTO DIRETTO"</f>
        <v>23-AFFIDAMENTO DIRETTO</v>
      </c>
      <c r="K1461" t="str">
        <f>"24/03/2021"</f>
        <v>24/03/2021</v>
      </c>
      <c r="L1461" t="str">
        <f>"18/05/2021"</f>
        <v>18/05/2021</v>
      </c>
      <c r="M1461" t="str">
        <f>""</f>
        <v/>
      </c>
      <c r="N1461" t="str">
        <f>"Officina Biesse S.n.c. Via Matteotti 24 35020 Arzergrande PD"</f>
        <v>Officina Biesse S.n.c. Via Matteotti 24 35020 Arzergrande PD</v>
      </c>
      <c r="O1461" t="str">
        <f>"Officina Biesse S.n.c. Via Matteotti 24 35020 Arzergrande PD"</f>
        <v>Officina Biesse S.n.c. Via Matteotti 24 35020 Arzergrande PD</v>
      </c>
      <c r="P1461" t="str">
        <f>"Z5F1926FD9: [180.00€ ]"</f>
        <v>Z5F1926FD9: [180.00€ ]</v>
      </c>
      <c r="Q1461" t="str">
        <f>""</f>
        <v/>
      </c>
      <c r="R1461" t="str">
        <f>""</f>
        <v/>
      </c>
      <c r="S1461" t="str">
        <f>""</f>
        <v/>
      </c>
      <c r="T1461" t="str">
        <f>"https://portaletrasparenza.consorziobacchiglione.it/dettagli/attodigara/268/manutenzione-e-riparazione-mezzi-con-targa-ep107xc-agk711.html"</f>
        <v>https://portaletrasparenza.consorziobacchiglione.it/dettagli/attodigara/268/manutenzione-e-riparazione-mezzi-con-targa-ep107xc-agk711.html</v>
      </c>
      <c r="U1461" t="str">
        <f>""</f>
        <v/>
      </c>
      <c r="V146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62" spans="1:22" x14ac:dyDescent="0.3">
      <c r="A1462" t="str">
        <f>"Affidamento"</f>
        <v>Affidamento</v>
      </c>
      <c r="B1462" t="str">
        <f>"Fornitura materiale elettrico per bacino Sesta Presa."</f>
        <v>Fornitura materiale elettrico per bacino Sesta Presa.</v>
      </c>
      <c r="C1462" t="str">
        <f>"ZBC1926E71"</f>
        <v>ZBC1926E71</v>
      </c>
      <c r="D1462" t="str">
        <f>"04/11/2021"</f>
        <v>04/11/2021</v>
      </c>
      <c r="E1462" t="str">
        <f>""</f>
        <v/>
      </c>
      <c r="F1462" t="str">
        <f>""</f>
        <v/>
      </c>
      <c r="G1462" t="str">
        <f>"5136.27"</f>
        <v>5136.27</v>
      </c>
      <c r="H1462" t="str">
        <f>"Consorzio di bonifica Bacchiglione"</f>
        <v>Consorzio di bonifica Bacchiglione</v>
      </c>
      <c r="I1462" t="str">
        <f>"92223390284"</f>
        <v>92223390284</v>
      </c>
      <c r="J1462" t="str">
        <f>"23-AFFIDAMENTO DIRETTO"</f>
        <v>23-AFFIDAMENTO DIRETTO</v>
      </c>
      <c r="K1462" t="str">
        <f>"24/03/2021"</f>
        <v>24/03/2021</v>
      </c>
      <c r="L1462" t="str">
        <f>"30/06/2021"</f>
        <v>30/06/2021</v>
      </c>
      <c r="M1462" t="str">
        <f>""</f>
        <v/>
      </c>
      <c r="N1462" t="str">
        <f>"Elettroveneta S.p.A. Viale della Navigazione Interna, 48 - 35129 Padova (PD)"</f>
        <v>Elettroveneta S.p.A. Viale della Navigazione Interna, 48 - 35129 Padova (PD)</v>
      </c>
      <c r="O1462" t="str">
        <f>"Elettroveneta S.p.A. Viale della Navigazione Interna, 48 - 35129 Padova (PD)"</f>
        <v>Elettroveneta S.p.A. Viale della Navigazione Interna, 48 - 35129 Padova (PD)</v>
      </c>
      <c r="P1462" t="str">
        <f>"ZBC1926E71: [5136.27€ ]"</f>
        <v>ZBC1926E71: [5136.27€ ]</v>
      </c>
      <c r="Q1462" t="str">
        <f>""</f>
        <v/>
      </c>
      <c r="R1462" t="str">
        <f>""</f>
        <v/>
      </c>
      <c r="S1462" t="str">
        <f>""</f>
        <v/>
      </c>
      <c r="T1462" t="str">
        <f>"https://portaletrasparenza.consorziobacchiglione.it/dettagli/attodigara/267/fornitura-materiale-elettrico-per-bacino-sesta-presa.html"</f>
        <v>https://portaletrasparenza.consorziobacchiglione.it/dettagli/attodigara/267/fornitura-materiale-elettrico-per-bacino-sesta-presa.html</v>
      </c>
      <c r="U1462" t="str">
        <f>""</f>
        <v/>
      </c>
      <c r="V146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63" spans="1:22" x14ac:dyDescent="0.3">
      <c r="A1463" t="str">
        <f>"Affidamento"</f>
        <v>Affidamento</v>
      </c>
      <c r="B1463" t="str">
        <f>"Contratto di assistenza hardware per 40 ore."</f>
        <v>Contratto di assistenza hardware per 40 ore.</v>
      </c>
      <c r="C1463" t="str">
        <f>"ZA51926743"</f>
        <v>ZA51926743</v>
      </c>
      <c r="D1463" t="str">
        <f>"04/11/2021"</f>
        <v>04/11/2021</v>
      </c>
      <c r="E1463" t="str">
        <f>""</f>
        <v/>
      </c>
      <c r="F1463" t="str">
        <f>""</f>
        <v/>
      </c>
      <c r="G1463" t="str">
        <f>"1800.00"</f>
        <v>1800.00</v>
      </c>
      <c r="H1463" t="str">
        <f>"Consorzio di bonifica Bacchiglione"</f>
        <v>Consorzio di bonifica Bacchiglione</v>
      </c>
      <c r="I1463" t="str">
        <f>"92223390284"</f>
        <v>92223390284</v>
      </c>
      <c r="J1463" t="str">
        <f>"23-AFFIDAMENTO DIRETTO"</f>
        <v>23-AFFIDAMENTO DIRETTO</v>
      </c>
      <c r="K1463" t="str">
        <f>"24/03/2021"</f>
        <v>24/03/2021</v>
      </c>
      <c r="L1463" t="str">
        <f>"18/05/2021"</f>
        <v>18/05/2021</v>
      </c>
      <c r="M1463" t="str">
        <f>""</f>
        <v/>
      </c>
      <c r="N1463" t="str">
        <f>"TPH Elettronica s.a.s. Via N. Pizzolo 51A 35132 Padova"</f>
        <v>TPH Elettronica s.a.s. Via N. Pizzolo 51A 35132 Padova</v>
      </c>
      <c r="O1463" t="str">
        <f>"TPH Elettronica s.a.s. Via N. Pizzolo 51A 35132 Padova"</f>
        <v>TPH Elettronica s.a.s. Via N. Pizzolo 51A 35132 Padova</v>
      </c>
      <c r="P1463" t="str">
        <f>"ZA51926743: [1800.00€ ]"</f>
        <v>ZA51926743: [1800.00€ ]</v>
      </c>
      <c r="Q1463" t="str">
        <f>""</f>
        <v/>
      </c>
      <c r="R1463" t="str">
        <f>""</f>
        <v/>
      </c>
      <c r="S1463" t="str">
        <f>""</f>
        <v/>
      </c>
      <c r="T1463" t="str">
        <f>"https://portaletrasparenza.consorziobacchiglione.it/dettagli/attodigara/266/contratto-di-assistenza-hardware-per-40-ore.html"</f>
        <v>https://portaletrasparenza.consorziobacchiglione.it/dettagli/attodigara/266/contratto-di-assistenza-hardware-per-40-ore.html</v>
      </c>
      <c r="U1463" t="str">
        <f>""</f>
        <v/>
      </c>
      <c r="V14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64" spans="1:22" x14ac:dyDescent="0.3">
      <c r="A1464" t="str">
        <f>"Affidamento"</f>
        <v>Affidamento</v>
      </c>
      <c r="B1464" t="str">
        <f>"Estrazione e sollevamento porte Vinciane zona Conche di Codevigo."</f>
        <v>Estrazione e sollevamento porte Vinciane zona Conche di Codevigo.</v>
      </c>
      <c r="C1464" t="str">
        <f>"Z3A19266DB"</f>
        <v>Z3A19266DB</v>
      </c>
      <c r="D1464" t="str">
        <f>"04/11/2021"</f>
        <v>04/11/2021</v>
      </c>
      <c r="E1464" t="str">
        <f>""</f>
        <v/>
      </c>
      <c r="F1464" t="str">
        <f>""</f>
        <v/>
      </c>
      <c r="G1464" t="str">
        <f>"1120.00"</f>
        <v>1120.00</v>
      </c>
      <c r="H1464" t="str">
        <f>"Consorzio di bonifica Bacchiglione"</f>
        <v>Consorzio di bonifica Bacchiglione</v>
      </c>
      <c r="I1464" t="str">
        <f>"92223390284"</f>
        <v>92223390284</v>
      </c>
      <c r="J1464" t="str">
        <f>"23-AFFIDAMENTO DIRETTO"</f>
        <v>23-AFFIDAMENTO DIRETTO</v>
      </c>
      <c r="K1464" t="str">
        <f>"24/03/2021"</f>
        <v>24/03/2021</v>
      </c>
      <c r="L1464" t="str">
        <f>"18/05/2021"</f>
        <v>18/05/2021</v>
      </c>
      <c r="M1464" t="str">
        <f>""</f>
        <v/>
      </c>
      <c r="N1464" t="str">
        <f>"Aggio Egidio Via Chiusure 47 35020 Maserà di Padova"</f>
        <v>Aggio Egidio Via Chiusure 47 35020 Maserà di Padova</v>
      </c>
      <c r="O1464" t="str">
        <f>"Aggio Egidio Via Chiusure 47 35020 Maserà di Padova"</f>
        <v>Aggio Egidio Via Chiusure 47 35020 Maserà di Padova</v>
      </c>
      <c r="P1464" t="str">
        <f>"Z3A19266DB: [1120.00€ ]"</f>
        <v>Z3A19266DB: [1120.00€ ]</v>
      </c>
      <c r="Q1464" t="str">
        <f>""</f>
        <v/>
      </c>
      <c r="R1464" t="str">
        <f>""</f>
        <v/>
      </c>
      <c r="S1464" t="str">
        <f>""</f>
        <v/>
      </c>
      <c r="T1464" t="str">
        <f>"https://portaletrasparenza.consorziobacchiglione.it/dettagli/attodigara/265/estrazione-e-sollevamento-porte-vinciane-zona-conche-di-codevigo.html"</f>
        <v>https://portaletrasparenza.consorziobacchiglione.it/dettagli/attodigara/265/estrazione-e-sollevamento-porte-vinciane-zona-conche-di-codevigo.html</v>
      </c>
      <c r="U1464" t="str">
        <f>""</f>
        <v/>
      </c>
      <c r="V14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65" spans="1:22" x14ac:dyDescent="0.3">
      <c r="A1465" t="str">
        <f>"Affidamento"</f>
        <v>Affidamento</v>
      </c>
      <c r="B1465" t="str">
        <f>"Fornitura sasso per frane scolo Bolzani."</f>
        <v>Fornitura sasso per frane scolo Bolzani.</v>
      </c>
      <c r="C1465" t="str">
        <f>"ZBE192652D"</f>
        <v>ZBE192652D</v>
      </c>
      <c r="D1465" t="str">
        <f>"04/11/2021"</f>
        <v>04/11/2021</v>
      </c>
      <c r="E1465" t="str">
        <f>""</f>
        <v/>
      </c>
      <c r="F1465" t="str">
        <f>""</f>
        <v/>
      </c>
      <c r="G1465" t="str">
        <f>"14260.00"</f>
        <v>14260.00</v>
      </c>
      <c r="H1465" t="str">
        <f>"Consorzio di bonifica Bacchiglione"</f>
        <v>Consorzio di bonifica Bacchiglione</v>
      </c>
      <c r="I1465" t="str">
        <f>"92223390284"</f>
        <v>92223390284</v>
      </c>
      <c r="J1465" t="str">
        <f>"23-AFFIDAMENTO DIRETTO"</f>
        <v>23-AFFIDAMENTO DIRETTO</v>
      </c>
      <c r="K1465" t="str">
        <f>"24/03/2021"</f>
        <v>24/03/2021</v>
      </c>
      <c r="L1465" t="str">
        <f>"03/05/2021"</f>
        <v>03/05/2021</v>
      </c>
      <c r="M1465" t="str">
        <f>""</f>
        <v/>
      </c>
      <c r="N1465" t="str">
        <f>"Martini Luciano s.r.l. Via Bagnara Alta 1172 35030 VO PD"</f>
        <v>Martini Luciano s.r.l. Via Bagnara Alta 1172 35030 VO PD</v>
      </c>
      <c r="O1465" t="str">
        <f>"Martini Luciano s.r.l. Via Bagnara Alta 1172 35030 VO PD"</f>
        <v>Martini Luciano s.r.l. Via Bagnara Alta 1172 35030 VO PD</v>
      </c>
      <c r="P1465" t="str">
        <f>"ZBE192652D: [14260.00€ ]"</f>
        <v>ZBE192652D: [14260.00€ ]</v>
      </c>
      <c r="Q1465" t="str">
        <f>""</f>
        <v/>
      </c>
      <c r="R1465" t="str">
        <f>""</f>
        <v/>
      </c>
      <c r="S1465" t="str">
        <f>""</f>
        <v/>
      </c>
      <c r="T1465" t="str">
        <f>"https://portaletrasparenza.consorziobacchiglione.it/dettagli/attodigara/264/fornitura-sasso-per-frane-scolo-bolzani.html"</f>
        <v>https://portaletrasparenza.consorziobacchiglione.it/dettagli/attodigara/264/fornitura-sasso-per-frane-scolo-bolzani.html</v>
      </c>
      <c r="U1465" t="str">
        <f>""</f>
        <v/>
      </c>
      <c r="V14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66" spans="1:22" x14ac:dyDescent="0.3">
      <c r="A1466" t="str">
        <f>"Affidamento"</f>
        <v>Affidamento</v>
      </c>
      <c r="B1466" t="str">
        <f>"Spostamento terreno dal scolo Bolzani all'Idrovora Madonnetta."</f>
        <v>Spostamento terreno dal scolo Bolzani all'Idrovora Madonnetta.</v>
      </c>
      <c r="C1466" t="str">
        <f>"Z521926480"</f>
        <v>Z521926480</v>
      </c>
      <c r="D1466" t="str">
        <f>"04/11/2021"</f>
        <v>04/11/2021</v>
      </c>
      <c r="E1466" t="str">
        <f>""</f>
        <v/>
      </c>
      <c r="F1466" t="str">
        <f>""</f>
        <v/>
      </c>
      <c r="G1466" t="str">
        <f>"2255.00"</f>
        <v>2255.00</v>
      </c>
      <c r="H1466" t="str">
        <f>"Consorzio di bonifica Bacchiglione"</f>
        <v>Consorzio di bonifica Bacchiglione</v>
      </c>
      <c r="I1466" t="str">
        <f>"92223390284"</f>
        <v>92223390284</v>
      </c>
      <c r="J1466" t="str">
        <f>"23-AFFIDAMENTO DIRETTO"</f>
        <v>23-AFFIDAMENTO DIRETTO</v>
      </c>
      <c r="K1466" t="str">
        <f>"24/03/2021"</f>
        <v>24/03/2021</v>
      </c>
      <c r="L1466" t="str">
        <f>"18/05/2021"</f>
        <v>18/05/2021</v>
      </c>
      <c r="M1466" t="str">
        <f>""</f>
        <v/>
      </c>
      <c r="N1466" t="str">
        <f>"Martini Luciano s.r.l. Via Bagnara Alta 1172 35030 VO PD"</f>
        <v>Martini Luciano s.r.l. Via Bagnara Alta 1172 35030 VO PD</v>
      </c>
      <c r="O1466" t="str">
        <f>"Martini Luciano s.r.l. Via Bagnara Alta 1172 35030 VO PD"</f>
        <v>Martini Luciano s.r.l. Via Bagnara Alta 1172 35030 VO PD</v>
      </c>
      <c r="P1466" t="str">
        <f>"Z521926480: [2255.00€ ]"</f>
        <v>Z521926480: [2255.00€ ]</v>
      </c>
      <c r="Q1466" t="str">
        <f>""</f>
        <v/>
      </c>
      <c r="R1466" t="str">
        <f>""</f>
        <v/>
      </c>
      <c r="S1466" t="str">
        <f>""</f>
        <v/>
      </c>
      <c r="T1466" t="str">
        <f>"https://portaletrasparenza.consorziobacchiglione.it/dettagli/attodigara/263/spostamento-terreno-dal-scolo-bolzani-all-idrovora-madonnetta.html"</f>
        <v>https://portaletrasparenza.consorziobacchiglione.it/dettagli/attodigara/263/spostamento-terreno-dal-scolo-bolzani-all-idrovora-madonnetta.html</v>
      </c>
      <c r="U1466" t="str">
        <f>""</f>
        <v/>
      </c>
      <c r="V146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67" spans="1:22" x14ac:dyDescent="0.3">
      <c r="A1467" t="str">
        <f>"Affidamento"</f>
        <v>Affidamento</v>
      </c>
      <c r="B1467" t="str">
        <f>"Spostamento terreno dal scolo Menona al scolo Rialto."</f>
        <v>Spostamento terreno dal scolo Menona al scolo Rialto.</v>
      </c>
      <c r="C1467" t="str">
        <f>"Z961926338"</f>
        <v>Z961926338</v>
      </c>
      <c r="D1467" t="str">
        <f>"04/11/2021"</f>
        <v>04/11/2021</v>
      </c>
      <c r="E1467" t="str">
        <f>""</f>
        <v/>
      </c>
      <c r="F1467" t="str">
        <f>""</f>
        <v/>
      </c>
      <c r="G1467" t="str">
        <f>"3372.00"</f>
        <v>3372.00</v>
      </c>
      <c r="H1467" t="str">
        <f>"Consorzio di bonifica Bacchiglione"</f>
        <v>Consorzio di bonifica Bacchiglione</v>
      </c>
      <c r="I1467" t="str">
        <f>"92223390284"</f>
        <v>92223390284</v>
      </c>
      <c r="J1467" t="str">
        <f>"23-AFFIDAMENTO DIRETTO"</f>
        <v>23-AFFIDAMENTO DIRETTO</v>
      </c>
      <c r="K1467" t="str">
        <f>"24/03/2021"</f>
        <v>24/03/2021</v>
      </c>
      <c r="L1467" t="str">
        <f>"18/05/2021"</f>
        <v>18/05/2021</v>
      </c>
      <c r="M1467" t="str">
        <f>""</f>
        <v/>
      </c>
      <c r="N1467" t="str">
        <f>"Martini Luciano s.r.l. Via Bagnara Alta 1172 35030 VO PD"</f>
        <v>Martini Luciano s.r.l. Via Bagnara Alta 1172 35030 VO PD</v>
      </c>
      <c r="O1467" t="str">
        <f>"Martini Luciano s.r.l. Via Bagnara Alta 1172 35030 VO PD"</f>
        <v>Martini Luciano s.r.l. Via Bagnara Alta 1172 35030 VO PD</v>
      </c>
      <c r="P1467" t="str">
        <f>"Z961926338: [3372.00€ ]"</f>
        <v>Z961926338: [3372.00€ ]</v>
      </c>
      <c r="Q1467" t="str">
        <f>""</f>
        <v/>
      </c>
      <c r="R1467" t="str">
        <f>""</f>
        <v/>
      </c>
      <c r="S1467" t="str">
        <f>""</f>
        <v/>
      </c>
      <c r="T1467" t="str">
        <f>"https://portaletrasparenza.consorziobacchiglione.it/dettagli/attodigara/262/spostamento-terreno-dal-scolo-menona-al-scolo-rialto.html"</f>
        <v>https://portaletrasparenza.consorziobacchiglione.it/dettagli/attodigara/262/spostamento-terreno-dal-scolo-menona-al-scolo-rialto.html</v>
      </c>
      <c r="U1467" t="str">
        <f>""</f>
        <v/>
      </c>
      <c r="V146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68" spans="1:22" x14ac:dyDescent="0.3">
      <c r="A1468" t="str">
        <f>"Affidamento"</f>
        <v>Affidamento</v>
      </c>
      <c r="B1468" t="str">
        <f>"Fornitura di 145,00 m di corda di rame necessaria al completamento della linea di messa a terra presso Impianto Idrovoro sul Fiume Brenta. - Processo ID 006-03."</f>
        <v>Fornitura di 145,00 m di corda di rame necessaria al completamento della linea di messa a terra presso Impianto Idrovoro sul Fiume Brenta. - Processo ID 006-03.</v>
      </c>
      <c r="C1468" t="str">
        <f>"Z521923B52"</f>
        <v>Z521923B52</v>
      </c>
      <c r="D1468" t="str">
        <f>"04/11/2021"</f>
        <v>04/11/2021</v>
      </c>
      <c r="E1468" t="str">
        <f>""</f>
        <v/>
      </c>
      <c r="F1468" t="str">
        <f>""</f>
        <v/>
      </c>
      <c r="G1468" t="str">
        <f>"760.73"</f>
        <v>760.73</v>
      </c>
      <c r="H1468" t="str">
        <f>"Consorzio di bonifica Bacchiglione"</f>
        <v>Consorzio di bonifica Bacchiglione</v>
      </c>
      <c r="I1468" t="str">
        <f>"92223390284"</f>
        <v>92223390284</v>
      </c>
      <c r="J1468" t="str">
        <f>"23-AFFIDAMENTO DIRETTO"</f>
        <v>23-AFFIDAMENTO DIRETTO</v>
      </c>
      <c r="K1468" t="str">
        <f>"24/03/2021"</f>
        <v>24/03/2021</v>
      </c>
      <c r="L1468" t="str">
        <f>"31/03/2021"</f>
        <v>31/03/2021</v>
      </c>
      <c r="M1468" t="str">
        <f>""</f>
        <v/>
      </c>
      <c r="N1468" t="str">
        <f>"MARCHIOL Spa"</f>
        <v>MARCHIOL Spa</v>
      </c>
      <c r="O1468" t="str">
        <f>"MARCHIOL Spa"</f>
        <v>MARCHIOL Spa</v>
      </c>
      <c r="P1468" t="str">
        <f>"Z521923B52: [760.73€ ]"</f>
        <v>Z521923B52: [760.73€ ]</v>
      </c>
      <c r="Q1468" t="str">
        <f>""</f>
        <v/>
      </c>
      <c r="R1468" t="str">
        <f>""</f>
        <v/>
      </c>
      <c r="S1468" t="str">
        <f>""</f>
        <v/>
      </c>
      <c r="T1468" t="str">
        <f>"https://portaletrasparenza.consorziobacchiglione.it/dettagli/attodigara/257/fornitura-di-145-00-m-di-corda-di-rame-necessaria-al-completamento-della-linea-di-messa-a-terra-presso-impianto-idrovoro-sul-fiume-brenta-processo-id-006-03.html"</f>
        <v>https://portaletrasparenza.consorziobacchiglione.it/dettagli/attodigara/257/fornitura-di-145-00-m-di-corda-di-rame-necessaria-al-completamento-della-linea-di-messa-a-terra-presso-impianto-idrovoro-sul-fiume-brenta-processo-id-006-03.html</v>
      </c>
      <c r="U1468" t="str">
        <f>""</f>
        <v/>
      </c>
      <c r="V14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69" spans="1:22" x14ac:dyDescent="0.3">
      <c r="A1469" t="str">
        <f>"Affidamento"</f>
        <v>Affidamento</v>
      </c>
      <c r="B1469" t="str">
        <f>"Realizzazione rotonda su via Ca' Panosso - Via Rienza - Processo ID 006-03."</f>
        <v>Realizzazione rotonda su via Ca' Panosso - Via Rienza - Processo ID 006-03.</v>
      </c>
      <c r="C1469" t="str">
        <f>"ZBA1923022"</f>
        <v>ZBA1923022</v>
      </c>
      <c r="D1469" t="str">
        <f>"04/11/2021"</f>
        <v>04/11/2021</v>
      </c>
      <c r="E1469" t="str">
        <f>""</f>
        <v/>
      </c>
      <c r="F1469" t="str">
        <f>""</f>
        <v/>
      </c>
      <c r="G1469" t="str">
        <f>"4320.00"</f>
        <v>4320.00</v>
      </c>
      <c r="H1469" t="str">
        <f>"Consorzio di bonifica Bacchiglione"</f>
        <v>Consorzio di bonifica Bacchiglione</v>
      </c>
      <c r="I1469" t="str">
        <f>"92223390284"</f>
        <v>92223390284</v>
      </c>
      <c r="J1469" t="str">
        <f>"23-AFFIDAMENTO DIRETTO"</f>
        <v>23-AFFIDAMENTO DIRETTO</v>
      </c>
      <c r="K1469" t="str">
        <f>"24/03/2021"</f>
        <v>24/03/2021</v>
      </c>
      <c r="L1469" t="str">
        <f>"18/05/2021"</f>
        <v>18/05/2021</v>
      </c>
      <c r="M1469" t="str">
        <f>""</f>
        <v/>
      </c>
      <c r="N1469" t="str">
        <f>"I.C.S. Impresa Conglomerati Strade"</f>
        <v>I.C.S. Impresa Conglomerati Strade</v>
      </c>
      <c r="O1469" t="str">
        <f>"I.C.S. Impresa Conglomerati Strade"</f>
        <v>I.C.S. Impresa Conglomerati Strade</v>
      </c>
      <c r="P1469" t="str">
        <f>"ZBA1923022: [4320.00€ ]"</f>
        <v>ZBA1923022: [4320.00€ ]</v>
      </c>
      <c r="Q1469" t="str">
        <f>""</f>
        <v/>
      </c>
      <c r="R1469" t="str">
        <f>""</f>
        <v/>
      </c>
      <c r="S1469" t="str">
        <f>""</f>
        <v/>
      </c>
      <c r="T1469" t="str">
        <f>"https://portaletrasparenza.consorziobacchiglione.it/dettagli/attodigara/255/realizzazione-rotonda-su-via-ca-panosso-via-rienza-processo-id-006-03.html"</f>
        <v>https://portaletrasparenza.consorziobacchiglione.it/dettagli/attodigara/255/realizzazione-rotonda-su-via-ca-panosso-via-rienza-processo-id-006-03.html</v>
      </c>
      <c r="U1469" t="str">
        <f>""</f>
        <v/>
      </c>
      <c r="V146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70" spans="1:22" x14ac:dyDescent="0.3">
      <c r="A1470" t="str">
        <f>"Affidamento"</f>
        <v>Affidamento</v>
      </c>
      <c r="B1470" t="str">
        <f>"Acquisizione servizio di manutenzione e gestione dei fotocopiatori consorziali. Fotocopiatore SHARP MX 7000 N ufficio tecnico"</f>
        <v>Acquisizione servizio di manutenzione e gestione dei fotocopiatori consorziali. Fotocopiatore SHARP MX 7000 N ufficio tecnico</v>
      </c>
      <c r="C1470" t="str">
        <f>"Z7E1938ABC"</f>
        <v>Z7E1938ABC</v>
      </c>
      <c r="D1470" t="str">
        <f>"04/11/2021"</f>
        <v>04/11/2021</v>
      </c>
      <c r="E1470" t="str">
        <f>""</f>
        <v/>
      </c>
      <c r="F1470" t="str">
        <f>""</f>
        <v/>
      </c>
      <c r="G1470" t="str">
        <f>"6201.60"</f>
        <v>6201.60</v>
      </c>
      <c r="H1470" t="str">
        <f>"Consorzio di bonifica Bacchiglione"</f>
        <v>Consorzio di bonifica Bacchiglione</v>
      </c>
      <c r="I1470" t="str">
        <f>"92223390284"</f>
        <v>92223390284</v>
      </c>
      <c r="J1470" t="str">
        <f>"23-AFFIDAMENTO DIRETTO"</f>
        <v>23-AFFIDAMENTO DIRETTO</v>
      </c>
      <c r="K1470" t="str">
        <f>"24/03/2021"</f>
        <v>24/03/2021</v>
      </c>
      <c r="L1470" t="str">
        <f>"31/12/2021"</f>
        <v>31/12/2021</v>
      </c>
      <c r="M1470" t="str">
        <f>""</f>
        <v/>
      </c>
      <c r="N1470" t="str">
        <f>"GBR ROSSETTO S.P.A."</f>
        <v>GBR ROSSETTO S.P.A.</v>
      </c>
      <c r="O1470" t="str">
        <f>"GBR ROSSETTO S.P.A."</f>
        <v>GBR ROSSETTO S.P.A.</v>
      </c>
      <c r="P1470" t="str">
        <f>"Z7E1938ABC: [6201.59€ ]"</f>
        <v>Z7E1938ABC: [6201.59€ ]</v>
      </c>
      <c r="Q1470" t="str">
        <f>""</f>
        <v/>
      </c>
      <c r="R1470" t="str">
        <f>""</f>
        <v/>
      </c>
      <c r="S1470" t="str">
        <f>""</f>
        <v/>
      </c>
      <c r="T1470" t="str">
        <f>"https://portaletrasparenza.consorziobacchiglione.it/dettagli/attodigara/258/acquisizione-servizio-di-manutenzione-e-gestione-dei-fotocopiatori-consorziali-fotocopiatore-sharp-mx-7000-n-ufficio-tecnico.html"</f>
        <v>https://portaletrasparenza.consorziobacchiglione.it/dettagli/attodigara/258/acquisizione-servizio-di-manutenzione-e-gestione-dei-fotocopiatori-consorziali-fotocopiatore-sharp-mx-7000-n-ufficio-tecnico.html</v>
      </c>
      <c r="U1470" t="str">
        <f>""</f>
        <v/>
      </c>
      <c r="V1470">
        <f>(SUBSTITUTE(Tabella1[[#This Row],[Importo di aggiudicazione]],".",","))-(SUBSTITUTE(  SUBSTITUTE(          SUBSTITUTE(Tabella1[[#This Row],[Dettaglio somme liquidate]],Tabella1[[#This Row],[CIG]]&amp;": [",""),"€ ]",""),".",","))</f>
        <v>1.0000000000218279E-2</v>
      </c>
    </row>
    <row r="1471" spans="1:22" x14ac:dyDescent="0.3">
      <c r="A1471" t="str">
        <f>"Affidamento"</f>
        <v>Affidamento</v>
      </c>
      <c r="B1471" t="str">
        <f>"Fornitura del materiale necessario al completamento della linea di messa ed illuminazione esterna presso Impianto Idrovoro sul Fiume Brenta. - Processo ID 006-03."</f>
        <v>Fornitura del materiale necessario al completamento della linea di messa ed illuminazione esterna presso Impianto Idrovoro sul Fiume Brenta. - Processo ID 006-03.</v>
      </c>
      <c r="C1471" t="str">
        <f>"ZF61923294"</f>
        <v>ZF61923294</v>
      </c>
      <c r="D1471" t="str">
        <f>"04/11/2021"</f>
        <v>04/11/2021</v>
      </c>
      <c r="E1471" t="str">
        <f>""</f>
        <v/>
      </c>
      <c r="F1471" t="str">
        <f>""</f>
        <v/>
      </c>
      <c r="G1471" t="str">
        <f>"3608.00"</f>
        <v>3608.00</v>
      </c>
      <c r="H1471" t="str">
        <f>"Consorzio di bonifica Bacchiglione"</f>
        <v>Consorzio di bonifica Bacchiglione</v>
      </c>
      <c r="I1471" t="str">
        <f>"92223390284"</f>
        <v>92223390284</v>
      </c>
      <c r="J1471" t="str">
        <f>"23-AFFIDAMENTO DIRETTO"</f>
        <v>23-AFFIDAMENTO DIRETTO</v>
      </c>
      <c r="K1471" t="str">
        <f>"24/03/2021"</f>
        <v>24/03/2021</v>
      </c>
      <c r="L1471" t="str">
        <f>"30/04/2021"</f>
        <v>30/04/2021</v>
      </c>
      <c r="M1471" t="str">
        <f>""</f>
        <v/>
      </c>
      <c r="N1471" t="str">
        <f>"Arcolin Ediliza sas"</f>
        <v>Arcolin Ediliza sas</v>
      </c>
      <c r="O1471" t="str">
        <f>"Arcolin Ediliza sas"</f>
        <v>Arcolin Ediliza sas</v>
      </c>
      <c r="P1471" t="str">
        <f>"ZF61923294: [3589.55€ ]"</f>
        <v>ZF61923294: [3589.55€ ]</v>
      </c>
      <c r="Q1471" t="str">
        <f>""</f>
        <v/>
      </c>
      <c r="R1471" t="str">
        <f>""</f>
        <v/>
      </c>
      <c r="S1471" t="str">
        <f>""</f>
        <v/>
      </c>
      <c r="T1471" t="str">
        <f>"https://portaletrasparenza.consorziobacchiglione.it/dettagli/attodigara/256/fornitura-del-materiale-necessario-al-completamento-della-linea-di-messa-ed-illuminazione-esterna-presso-impianto-idrovoro-sul-fiume-brenta-processo-id-006-03.html"</f>
        <v>https://portaletrasparenza.consorziobacchiglione.it/dettagli/attodigara/256/fornitura-del-materiale-necessario-al-completamento-della-linea-di-messa-ed-illuminazione-esterna-presso-impianto-idrovoro-sul-fiume-brenta-processo-id-006-03.html</v>
      </c>
      <c r="U1471" t="str">
        <f>""</f>
        <v/>
      </c>
      <c r="V1471">
        <f>(SUBSTITUTE(Tabella1[[#This Row],[Importo di aggiudicazione]],".",","))-(SUBSTITUTE(  SUBSTITUTE(          SUBSTITUTE(Tabella1[[#This Row],[Dettaglio somme liquidate]],Tabella1[[#This Row],[CIG]]&amp;": [",""),"€ ]",""),".",","))</f>
        <v>18.449999999999818</v>
      </c>
    </row>
    <row r="1472" spans="1:22" x14ac:dyDescent="0.3">
      <c r="A1472" t="str">
        <f>"Affidamento"</f>
        <v>Affidamento</v>
      </c>
      <c r="B1472" t="str">
        <f>"Acquisizione servizio di manutenzione e gestione del fotocopiatore consorziale situato presso il settore catasto. SHARP 5320."</f>
        <v>Acquisizione servizio di manutenzione e gestione del fotocopiatore consorziale situato presso il settore catasto. SHARP 5320.</v>
      </c>
      <c r="C1472" t="str">
        <f>"ZA11938C53"</f>
        <v>ZA11938C53</v>
      </c>
      <c r="D1472" t="str">
        <f>"04/11/2021"</f>
        <v>04/11/2021</v>
      </c>
      <c r="E1472" t="str">
        <f>""</f>
        <v/>
      </c>
      <c r="F1472" t="str">
        <f>""</f>
        <v/>
      </c>
      <c r="G1472" t="str">
        <f>"840.00"</f>
        <v>840.00</v>
      </c>
      <c r="H1472" t="str">
        <f>"Consorzio di bonifica Bacchiglione"</f>
        <v>Consorzio di bonifica Bacchiglione</v>
      </c>
      <c r="I1472" t="str">
        <f>"92223390284"</f>
        <v>92223390284</v>
      </c>
      <c r="J1472" t="str">
        <f>"23-AFFIDAMENTO DIRETTO"</f>
        <v>23-AFFIDAMENTO DIRETTO</v>
      </c>
      <c r="K1472" t="str">
        <f>"24/03/2021"</f>
        <v>24/03/2021</v>
      </c>
      <c r="L1472" t="str">
        <f>"31/12/2021"</f>
        <v>31/12/2021</v>
      </c>
      <c r="M1472" t="str">
        <f>""</f>
        <v/>
      </c>
      <c r="N1472" t="str">
        <f>"GBR ROSSETTO S.P.A."</f>
        <v>GBR ROSSETTO S.P.A.</v>
      </c>
      <c r="O1472" t="str">
        <f>"GBR ROSSETTO S.P.A."</f>
        <v>GBR ROSSETTO S.P.A.</v>
      </c>
      <c r="P1472" t="str">
        <f>"ZA11938C53: [420.01€ ]"</f>
        <v>ZA11938C53: [420.01€ ]</v>
      </c>
      <c r="Q1472" t="str">
        <f>""</f>
        <v/>
      </c>
      <c r="R1472" t="str">
        <f>""</f>
        <v/>
      </c>
      <c r="S1472" t="str">
        <f>""</f>
        <v/>
      </c>
      <c r="T1472" t="str">
        <f>"https://portaletrasparenza.consorziobacchiglione.it/dettagli/attodigara/260/acquisizione-servizio-di-manutenzione-e-gestione-del-fotocopiatore-consorziale-situato-presso-il-settore-catasto-sharp-5320.html"</f>
        <v>https://portaletrasparenza.consorziobacchiglione.it/dettagli/attodigara/260/acquisizione-servizio-di-manutenzione-e-gestione-del-fotocopiatore-consorziale-situato-presso-il-settore-catasto-sharp-5320.html</v>
      </c>
      <c r="U1472" t="str">
        <f>""</f>
        <v/>
      </c>
      <c r="V1472">
        <f>(SUBSTITUTE(Tabella1[[#This Row],[Importo di aggiudicazione]],".",","))-(SUBSTITUTE(  SUBSTITUTE(          SUBSTITUTE(Tabella1[[#This Row],[Dettaglio somme liquidate]],Tabella1[[#This Row],[CIG]]&amp;": [",""),"€ ]",""),".",","))</f>
        <v>419.99</v>
      </c>
    </row>
    <row r="1473" spans="1:22" x14ac:dyDescent="0.3">
      <c r="A1473" t="str">
        <f>"Affidamento"</f>
        <v>Affidamento</v>
      </c>
      <c r="B1473" t="str">
        <f>"Riparazione e manutenzione mezzi con targa: DA203YW,AJ206BM, DA202YW, CB934XY, DN881SC."</f>
        <v>Riparazione e manutenzione mezzi con targa: DA203YW,AJ206BM, DA202YW, CB934XY, DN881SC.</v>
      </c>
      <c r="C1473" t="str">
        <f>"ZEC192728E"</f>
        <v>ZEC192728E</v>
      </c>
      <c r="D1473" t="str">
        <f>"04/11/2021"</f>
        <v>04/11/2021</v>
      </c>
      <c r="E1473" t="str">
        <f>""</f>
        <v/>
      </c>
      <c r="F1473" t="str">
        <f>""</f>
        <v/>
      </c>
      <c r="G1473" t="str">
        <f>"5810.05"</f>
        <v>5810.05</v>
      </c>
      <c r="H1473" t="str">
        <f>"Consorzio di bonifica Bacchiglione"</f>
        <v>Consorzio di bonifica Bacchiglione</v>
      </c>
      <c r="I1473" t="str">
        <f>"92223390284"</f>
        <v>92223390284</v>
      </c>
      <c r="J1473" t="str">
        <f>"23-AFFIDAMENTO DIRETTO"</f>
        <v>23-AFFIDAMENTO DIRETTO</v>
      </c>
      <c r="K1473" t="str">
        <f>"24/03/2021"</f>
        <v>24/03/2021</v>
      </c>
      <c r="L1473" t="str">
        <f>"26/05/2021"</f>
        <v>26/05/2021</v>
      </c>
      <c r="M1473" t="str">
        <f>""</f>
        <v/>
      </c>
      <c r="N1473" t="str">
        <f>"Mardegan F.lli s.n.c. Via Argine Destro 13A 35020 Brenta di Correzzola PD"</f>
        <v>Mardegan F.lli s.n.c. Via Argine Destro 13A 35020 Brenta di Correzzola PD</v>
      </c>
      <c r="O1473" t="str">
        <f>"Mardegan F.lli s.n.c. Via Argine Destro 13A 35020 Brenta di Correzzola PD"</f>
        <v>Mardegan F.lli s.n.c. Via Argine Destro 13A 35020 Brenta di Correzzola PD</v>
      </c>
      <c r="P1473" t="str">
        <f>"ZEC192728E: [0.00€ ]"</f>
        <v>ZEC192728E: [0.00€ ]</v>
      </c>
      <c r="Q1473" t="str">
        <f>""</f>
        <v/>
      </c>
      <c r="R1473" t="str">
        <f>""</f>
        <v/>
      </c>
      <c r="S1473" t="str">
        <f>""</f>
        <v/>
      </c>
      <c r="T1473" t="str">
        <f>"https://portaletrasparenza.consorziobacchiglione.it/dettagli/attodigara/270/riparazione-e-manutenzione-mezzi-con-targa-da203yw-aj206bm-da202yw-cb934xy-dn881sc.html"</f>
        <v>https://portaletrasparenza.consorziobacchiglione.it/dettagli/attodigara/270/riparazione-e-manutenzione-mezzi-con-targa-da203yw-aj206bm-da202yw-cb934xy-dn881sc.html</v>
      </c>
      <c r="U1473" t="str">
        <f>""</f>
        <v/>
      </c>
      <c r="V1473">
        <f>(SUBSTITUTE(Tabella1[[#This Row],[Importo di aggiudicazione]],".",","))-(SUBSTITUTE(  SUBSTITUTE(          SUBSTITUTE(Tabella1[[#This Row],[Dettaglio somme liquidate]],Tabella1[[#This Row],[CIG]]&amp;": [",""),"€ ]",""),".",","))</f>
        <v>5810.05</v>
      </c>
    </row>
    <row r="1474" spans="1:22" x14ac:dyDescent="0.3">
      <c r="A1474" t="str">
        <f>"Affidamento"</f>
        <v>Affidamento</v>
      </c>
      <c r="B1474" t="str">
        <f>"Scansioni n. 45 tavole 100x70 cartografiche del Carra su lucido"</f>
        <v>Scansioni n. 45 tavole 100x70 cartografiche del Carra su lucido</v>
      </c>
      <c r="C1474" t="str">
        <f>"Z26311F94B"</f>
        <v>Z26311F94B</v>
      </c>
      <c r="D1474" t="str">
        <f>"25/03/2021"</f>
        <v>25/03/2021</v>
      </c>
      <c r="E1474" t="str">
        <f>""</f>
        <v/>
      </c>
      <c r="F1474" t="str">
        <f>""</f>
        <v/>
      </c>
      <c r="G1474" t="str">
        <f>"137.70"</f>
        <v>137.70</v>
      </c>
      <c r="H1474" t="str">
        <f>"Consorzio di bonifica Bacchiglione"</f>
        <v>Consorzio di bonifica Bacchiglione</v>
      </c>
      <c r="I1474" t="str">
        <f>"92223390284"</f>
        <v>92223390284</v>
      </c>
      <c r="J1474" t="str">
        <f>"23-AFFIDAMENTO DIRETTO"</f>
        <v>23-AFFIDAMENTO DIRETTO</v>
      </c>
      <c r="K1474" t="str">
        <f>"24/03/2021"</f>
        <v>24/03/2021</v>
      </c>
      <c r="L1474" t="str">
        <f>"19/04/2021"</f>
        <v>19/04/2021</v>
      </c>
      <c r="M1474" t="str">
        <f>""</f>
        <v/>
      </c>
      <c r="N1474" t="str">
        <f>"Berchet ingegneria di stampa S.a.s. Via degli Scrovegni. 27 - 35131 Padova"</f>
        <v>Berchet ingegneria di stampa S.a.s. Via degli Scrovegni. 27 - 35131 Padova</v>
      </c>
      <c r="O1474" t="str">
        <f>"Berchet ingegneria di stampa S.a.s. Via degli Scrovegni. 27 - 35131 Padova"</f>
        <v>Berchet ingegneria di stampa S.a.s. Via degli Scrovegni. 27 - 35131 Padova</v>
      </c>
      <c r="P1474" t="str">
        <f>"Z26311F94B: [137.70€ ]"</f>
        <v>Z26311F94B: [137.70€ ]</v>
      </c>
      <c r="Q1474" t="str">
        <f>""</f>
        <v/>
      </c>
      <c r="R1474" t="str">
        <f>""</f>
        <v/>
      </c>
      <c r="S1474" t="str">
        <f>""</f>
        <v/>
      </c>
      <c r="T1474" t="str">
        <f>"https://portaletrasparenza.consorziobacchiglione.it/dettagli/attodigara/6730/scansioni-n-45-tavole-100x70-cartografiche-del-carra-su-lucido.html"</f>
        <v>https://portaletrasparenza.consorziobacchiglione.it/dettagli/attodigara/6730/scansioni-n-45-tavole-100x70-cartografiche-del-carra-su-lucido.html</v>
      </c>
      <c r="U1474" t="str">
        <f>"https://portaletrasparenza.consorziobacchiglione.it/download/attodigara/6730/63ac45714dea6.PDF"</f>
        <v>https://portaletrasparenza.consorziobacchiglione.it/download/attodigara/6730/63ac45714dea6.PDF</v>
      </c>
      <c r="V147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75" spans="1:22" x14ac:dyDescent="0.3">
      <c r="A1475" t="str">
        <f>"Affidamento"</f>
        <v>Affidamento</v>
      </c>
      <c r="B1475" t="str">
        <f>"Fornitura materiale vario per l'anno 2021 presso Bacino Sesta Presa"</f>
        <v>Fornitura materiale vario per l'anno 2021 presso Bacino Sesta Presa</v>
      </c>
      <c r="C1475" t="str">
        <f>"ZE9311F306"</f>
        <v>ZE9311F306</v>
      </c>
      <c r="D1475" t="str">
        <f>"25/03/2021"</f>
        <v>25/03/2021</v>
      </c>
      <c r="E1475" t="str">
        <f>""</f>
        <v/>
      </c>
      <c r="F1475" t="str">
        <f>""</f>
        <v/>
      </c>
      <c r="G1475" t="str">
        <f>"5000.00"</f>
        <v>5000.00</v>
      </c>
      <c r="H1475" t="str">
        <f>"Consorzio di bonifica Bacchiglione"</f>
        <v>Consorzio di bonifica Bacchiglione</v>
      </c>
      <c r="I1475" t="str">
        <f>"92223390284"</f>
        <v>92223390284</v>
      </c>
      <c r="J1475" t="str">
        <f>"23-AFFIDAMENTO DIRETTO"</f>
        <v>23-AFFIDAMENTO DIRETTO</v>
      </c>
      <c r="K1475" t="str">
        <f>"24/03/2021"</f>
        <v>24/03/2021</v>
      </c>
      <c r="L1475" t="str">
        <f>"31/12/2021"</f>
        <v>31/12/2021</v>
      </c>
      <c r="M1475" t="str">
        <f>""</f>
        <v/>
      </c>
      <c r="N1475" t="str">
        <f>"Dexive S.p.A. Via Aldo Moro, 13 25124 Brescia"</f>
        <v>Dexive S.p.A. Via Aldo Moro, 13 25124 Brescia</v>
      </c>
      <c r="O1475" t="str">
        <f>"Dexive S.p.A. Via Aldo Moro, 13 25124 Brescia"</f>
        <v>Dexive S.p.A. Via Aldo Moro, 13 25124 Brescia</v>
      </c>
      <c r="P1475" t="str">
        <f>"ZE9311F306: [4367.45€ ]"</f>
        <v>ZE9311F306: [4367.45€ ]</v>
      </c>
      <c r="Q1475" t="str">
        <f>""</f>
        <v/>
      </c>
      <c r="R1475" t="str">
        <f>""</f>
        <v/>
      </c>
      <c r="S1475" t="str">
        <f>""</f>
        <v/>
      </c>
      <c r="T1475" t="str">
        <f>"https://portaletrasparenza.consorziobacchiglione.it/dettagli/attodigara/6729/fornitura-materiale-vario-per-l-anno-2021-presso-bacino-sesta-presa.html"</f>
        <v>https://portaletrasparenza.consorziobacchiglione.it/dettagli/attodigara/6729/fornitura-materiale-vario-per-l-anno-2021-presso-bacino-sesta-presa.html</v>
      </c>
      <c r="U1475" t="str">
        <f>"https://portaletrasparenza.consorziobacchiglione.it/download/attodigara/6729/63e646e13f161.PDF"</f>
        <v>https://portaletrasparenza.consorziobacchiglione.it/download/attodigara/6729/63e646e13f161.PDF</v>
      </c>
      <c r="V1475">
        <f>(SUBSTITUTE(Tabella1[[#This Row],[Importo di aggiudicazione]],".",","))-(SUBSTITUTE(  SUBSTITUTE(          SUBSTITUTE(Tabella1[[#This Row],[Dettaglio somme liquidate]],Tabella1[[#This Row],[CIG]]&amp;": [",""),"€ ]",""),".",","))</f>
        <v>632.55000000000018</v>
      </c>
    </row>
    <row r="1476" spans="1:22" x14ac:dyDescent="0.3">
      <c r="A1476" t="str">
        <f>"Affidamento"</f>
        <v>Affidamento</v>
      </c>
      <c r="B1476" t="str">
        <f>"Fornitura n.5 ripetitore / alimentatore mA/V ingresso e uscita per Impianti vari"</f>
        <v>Fornitura n.5 ripetitore / alimentatore mA/V ingresso e uscita per Impianti vari</v>
      </c>
      <c r="C1476" t="str">
        <f>"ZD431201F4"</f>
        <v>ZD431201F4</v>
      </c>
      <c r="D1476" t="str">
        <f>"25/03/2021"</f>
        <v>25/03/2021</v>
      </c>
      <c r="E1476" t="str">
        <f>""</f>
        <v/>
      </c>
      <c r="F1476" t="str">
        <f>""</f>
        <v/>
      </c>
      <c r="G1476" t="str">
        <f>"1492.00"</f>
        <v>1492.00</v>
      </c>
      <c r="H1476" t="str">
        <f>"Consorzio di bonifica Bacchiglione"</f>
        <v>Consorzio di bonifica Bacchiglione</v>
      </c>
      <c r="I1476" t="str">
        <f>"92223390284"</f>
        <v>92223390284</v>
      </c>
      <c r="J1476" t="str">
        <f>"23-AFFIDAMENTO DIRETTO"</f>
        <v>23-AFFIDAMENTO DIRETTO</v>
      </c>
      <c r="K1476" t="str">
        <f>"24/03/2021"</f>
        <v>24/03/2021</v>
      </c>
      <c r="L1476" t="str">
        <f>"09/04/2021"</f>
        <v>09/04/2021</v>
      </c>
      <c r="M1476" t="str">
        <f>""</f>
        <v/>
      </c>
      <c r="N1476" t="str">
        <f>"PR electronics Via Lodovico Ariosto 19 I 20091 Bresso MI"</f>
        <v>PR electronics Via Lodovico Ariosto 19 I 20091 Bresso MI</v>
      </c>
      <c r="O1476" t="str">
        <f>"PR electronics Via Lodovico Ariosto 19 I 20091 Bresso MI"</f>
        <v>PR electronics Via Lodovico Ariosto 19 I 20091 Bresso MI</v>
      </c>
      <c r="P1476" t="str">
        <f>"ZD431201F4: [0.00€ ]"</f>
        <v>ZD431201F4: [0.00€ ]</v>
      </c>
      <c r="Q1476" t="str">
        <f>""</f>
        <v/>
      </c>
      <c r="R1476" t="str">
        <f>""</f>
        <v/>
      </c>
      <c r="S1476" t="str">
        <f>""</f>
        <v/>
      </c>
      <c r="T1476" t="str">
        <f>"https://portaletrasparenza.consorziobacchiglione.it/dettagli/attodigara/6732/fornitura-n-5-ripetitore-alimentatore-ma-v-ingresso-e-uscita-per-impianti-vari.html"</f>
        <v>https://portaletrasparenza.consorziobacchiglione.it/dettagli/attodigara/6732/fornitura-n-5-ripetitore-alimentatore-ma-v-ingresso-e-uscita-per-impianti-vari.html</v>
      </c>
      <c r="U1476" t="str">
        <f>"https://portaletrasparenza.consorziobacchiglione.it/download/attodigara/6732/62a209b0a29cc.PDF"</f>
        <v>https://portaletrasparenza.consorziobacchiglione.it/download/attodigara/6732/62a209b0a29cc.PDF</v>
      </c>
      <c r="V1476">
        <f>(SUBSTITUTE(Tabella1[[#This Row],[Importo di aggiudicazione]],".",","))-(SUBSTITUTE(  SUBSTITUTE(          SUBSTITUTE(Tabella1[[#This Row],[Dettaglio somme liquidate]],Tabella1[[#This Row],[CIG]]&amp;": [",""),"€ ]",""),".",","))</f>
        <v>1492</v>
      </c>
    </row>
    <row r="1477" spans="1:22" x14ac:dyDescent="0.3">
      <c r="A1477" t="str">
        <f>"Affidamento"</f>
        <v>Affidamento</v>
      </c>
      <c r="B1477" t="str">
        <f>"Corsi eLearning Sicurezza sul lavoro per il Direttore e Dirigente Area Tecnica Agraria Ambiente e Manutenzione"</f>
        <v>Corsi eLearning Sicurezza sul lavoro per il Direttore e Dirigente Area Tecnica Agraria Ambiente e Manutenzione</v>
      </c>
      <c r="C1477" t="str">
        <f>"ZD3311FDC3"</f>
        <v>ZD3311FDC3</v>
      </c>
      <c r="D1477" t="str">
        <f>"26/03/2021"</f>
        <v>26/03/2021</v>
      </c>
      <c r="E1477" t="str">
        <f>""</f>
        <v/>
      </c>
      <c r="F1477" t="str">
        <f>""</f>
        <v/>
      </c>
      <c r="G1477" t="str">
        <f>"295.00"</f>
        <v>295.00</v>
      </c>
      <c r="H1477" t="str">
        <f>"Consorzio di bonifica Bacchiglione"</f>
        <v>Consorzio di bonifica Bacchiglione</v>
      </c>
      <c r="I1477" t="str">
        <f>"92223390284"</f>
        <v>92223390284</v>
      </c>
      <c r="J1477" t="str">
        <f>"23-AFFIDAMENTO DIRETTO"</f>
        <v>23-AFFIDAMENTO DIRETTO</v>
      </c>
      <c r="K1477" t="str">
        <f>"24/03/2021"</f>
        <v>24/03/2021</v>
      </c>
      <c r="L1477" t="str">
        <f>"08/04/2021"</f>
        <v>08/04/2021</v>
      </c>
      <c r="M1477" t="str">
        <f>""</f>
        <v/>
      </c>
      <c r="N1477" t="str">
        <f>"Mega Italia Media Spa Via Roncadelle 70A 25030 Castel Mella BS"</f>
        <v>Mega Italia Media Spa Via Roncadelle 70A 25030 Castel Mella BS</v>
      </c>
      <c r="O1477" t="str">
        <f>"Mega Italia Media Spa Via Roncadelle 70A 25030 Castel Mella BS"</f>
        <v>Mega Italia Media Spa Via Roncadelle 70A 25030 Castel Mella BS</v>
      </c>
      <c r="P1477" t="str">
        <f>"ZD3311FDC3: [295.00€ ]"</f>
        <v>ZD3311FDC3: [295.00€ ]</v>
      </c>
      <c r="Q1477" t="str">
        <f>""</f>
        <v/>
      </c>
      <c r="R1477" t="str">
        <f>""</f>
        <v/>
      </c>
      <c r="S1477" t="str">
        <f>""</f>
        <v/>
      </c>
      <c r="T1477" t="str">
        <f>"https://portaletrasparenza.consorziobacchiglione.it/dettagli/attodigara/6731/corsi-elearning-sicurezza-sul-lavoro-per-il-direttore-e-dirigente-area-tecnica-agraria-ambiente-e-manutenzione.html"</f>
        <v>https://portaletrasparenza.consorziobacchiglione.it/dettagli/attodigara/6731/corsi-elearning-sicurezza-sul-lavoro-per-il-direttore-e-dirigente-area-tecnica-agraria-ambiente-e-manutenzione.html</v>
      </c>
      <c r="U1477" t="str">
        <f>"https://portaletrasparenza.consorziobacchiglione.it/download/attodigara/6731/63ac45735c529.PDF"</f>
        <v>https://portaletrasparenza.consorziobacchiglione.it/download/attodigara/6731/63ac45735c529.PDF</v>
      </c>
      <c r="V14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78" spans="1:22" x14ac:dyDescent="0.3">
      <c r="A1478" t="str">
        <f>"Affidamento"</f>
        <v>Affidamento</v>
      </c>
      <c r="B1478" t="str">
        <f>"Acquisto servizio di invio sms."</f>
        <v>Acquisto servizio di invio sms.</v>
      </c>
      <c r="C1478" t="str">
        <f>"ZC01A03935"</f>
        <v>ZC01A03935</v>
      </c>
      <c r="D1478" t="str">
        <f>"04/11/2021"</f>
        <v>04/11/2021</v>
      </c>
      <c r="E1478" t="str">
        <f>""</f>
        <v/>
      </c>
      <c r="F1478" t="str">
        <f>""</f>
        <v/>
      </c>
      <c r="G1478" t="str">
        <f>"32.00"</f>
        <v>32.00</v>
      </c>
      <c r="H1478" t="str">
        <f>"Consorzio di bonifica Bacchiglione"</f>
        <v>Consorzio di bonifica Bacchiglione</v>
      </c>
      <c r="I1478" t="str">
        <f>"92223390284"</f>
        <v>92223390284</v>
      </c>
      <c r="J1478" t="str">
        <f>"23-AFFIDAMENTO DIRETTO"</f>
        <v>23-AFFIDAMENTO DIRETTO</v>
      </c>
      <c r="K1478" t="str">
        <f>"24/05/2021"</f>
        <v>24/05/2021</v>
      </c>
      <c r="L1478" t="str">
        <f>"30/12/2021"</f>
        <v>30/12/2021</v>
      </c>
      <c r="M1478" t="str">
        <f>""</f>
        <v/>
      </c>
      <c r="N1478" t="str">
        <f>"SKEBBY - MOBILE SOLUTION S.R.L. A SOCIO UNICO"</f>
        <v>SKEBBY - MOBILE SOLUTION S.R.L. A SOCIO UNICO</v>
      </c>
      <c r="O1478" t="str">
        <f>"SKEBBY - MOBILE SOLUTION S.R.L. A SOCIO UNICO"</f>
        <v>SKEBBY - MOBILE SOLUTION S.R.L. A SOCIO UNICO</v>
      </c>
      <c r="P1478" t="str">
        <f>"ZC01A03935: [0.00€ ]"</f>
        <v>ZC01A03935: [0.00€ ]</v>
      </c>
      <c r="Q1478" t="str">
        <f>""</f>
        <v/>
      </c>
      <c r="R1478" t="str">
        <f>""</f>
        <v/>
      </c>
      <c r="S1478" t="str">
        <f>""</f>
        <v/>
      </c>
      <c r="T1478" t="str">
        <f>"https://portaletrasparenza.consorziobacchiglione.it/dettagli/attodigara/459/acquisto-servizio-di-invio-sms.html"</f>
        <v>https://portaletrasparenza.consorziobacchiglione.it/dettagli/attodigara/459/acquisto-servizio-di-invio-sms.html</v>
      </c>
      <c r="U1478" t="str">
        <f>""</f>
        <v/>
      </c>
      <c r="V1478">
        <f>(SUBSTITUTE(Tabella1[[#This Row],[Importo di aggiudicazione]],".",","))-(SUBSTITUTE(  SUBSTITUTE(          SUBSTITUTE(Tabella1[[#This Row],[Dettaglio somme liquidate]],Tabella1[[#This Row],[CIG]]&amp;": [",""),"€ ]",""),".",","))</f>
        <v>32</v>
      </c>
    </row>
    <row r="1479" spans="1:22" x14ac:dyDescent="0.3">
      <c r="A1479" t="str">
        <f>"Affidamento"</f>
        <v>Affidamento</v>
      </c>
      <c r="B1479" t="str">
        <f>"Estrazione pompa N 2 Idrovora di Cambroso."</f>
        <v>Estrazione pompa N 2 Idrovora di Cambroso.</v>
      </c>
      <c r="C1479" t="str">
        <f>"Z961A01560"</f>
        <v>Z961A01560</v>
      </c>
      <c r="D1479" t="str">
        <f>"04/11/2021"</f>
        <v>04/11/2021</v>
      </c>
      <c r="E1479" t="str">
        <f>""</f>
        <v/>
      </c>
      <c r="F1479" t="str">
        <f>""</f>
        <v/>
      </c>
      <c r="G1479" t="str">
        <f>"924.00"</f>
        <v>924.00</v>
      </c>
      <c r="H1479" t="str">
        <f>"Consorzio di bonifica Bacchiglione"</f>
        <v>Consorzio di bonifica Bacchiglione</v>
      </c>
      <c r="I1479" t="str">
        <f>"92223390284"</f>
        <v>92223390284</v>
      </c>
      <c r="J1479" t="str">
        <f>"23-AFFIDAMENTO DIRETTO"</f>
        <v>23-AFFIDAMENTO DIRETTO</v>
      </c>
      <c r="K1479" t="str">
        <f>"24/05/2021"</f>
        <v>24/05/2021</v>
      </c>
      <c r="L1479" t="str">
        <f>"22/07/2021"</f>
        <v>22/07/2021</v>
      </c>
      <c r="M1479" t="str">
        <f>""</f>
        <v/>
      </c>
      <c r="N1479" t="str">
        <f>"Xylem Water Solutions Italia S.r.l. Via Gioacchino Rossini 1A 20020 Lainate MI"</f>
        <v>Xylem Water Solutions Italia S.r.l. Via Gioacchino Rossini 1A 20020 Lainate MI</v>
      </c>
      <c r="O1479" t="str">
        <f>"Xylem Water Solutions Italia S.r.l. Via Gioacchino Rossini 1A 20020 Lainate MI"</f>
        <v>Xylem Water Solutions Italia S.r.l. Via Gioacchino Rossini 1A 20020 Lainate MI</v>
      </c>
      <c r="P1479" t="str">
        <f>"Z961A01560: [871.56€ ]"</f>
        <v>Z961A01560: [871.56€ ]</v>
      </c>
      <c r="Q1479" t="str">
        <f>""</f>
        <v/>
      </c>
      <c r="R1479" t="str">
        <f>""</f>
        <v/>
      </c>
      <c r="S1479" t="str">
        <f>""</f>
        <v/>
      </c>
      <c r="T1479" t="str">
        <f>"https://portaletrasparenza.consorziobacchiglione.it/dettagli/attodigara/462/estrazione-pompa-n-2-idrovora-di-cambroso.html"</f>
        <v>https://portaletrasparenza.consorziobacchiglione.it/dettagli/attodigara/462/estrazione-pompa-n-2-idrovora-di-cambroso.html</v>
      </c>
      <c r="U1479" t="str">
        <f>""</f>
        <v/>
      </c>
      <c r="V1479">
        <f>(SUBSTITUTE(Tabella1[[#This Row],[Importo di aggiudicazione]],".",","))-(SUBSTITUTE(  SUBSTITUTE(          SUBSTITUTE(Tabella1[[#This Row],[Dettaglio somme liquidate]],Tabella1[[#This Row],[CIG]]&amp;": [",""),"€ ]",""),".",","))</f>
        <v>52.440000000000055</v>
      </c>
    </row>
    <row r="1480" spans="1:22" x14ac:dyDescent="0.3">
      <c r="A1480" t="str">
        <f>"Affidamento"</f>
        <v>Affidamento</v>
      </c>
      <c r="B1480" t="str">
        <f>"Fornitura materiale edile per Bacino Sesta Presa"</f>
        <v>Fornitura materiale edile per Bacino Sesta Presa</v>
      </c>
      <c r="C1480" t="str">
        <f>"Z121A01322"</f>
        <v>Z121A01322</v>
      </c>
      <c r="D1480" t="str">
        <f>"04/11/2021"</f>
        <v>04/11/2021</v>
      </c>
      <c r="E1480" t="str">
        <f>""</f>
        <v/>
      </c>
      <c r="F1480" t="str">
        <f>""</f>
        <v/>
      </c>
      <c r="G1480" t="str">
        <f>"548.20"</f>
        <v>548.20</v>
      </c>
      <c r="H1480" t="str">
        <f>"Consorzio di bonifica Bacchiglione"</f>
        <v>Consorzio di bonifica Bacchiglione</v>
      </c>
      <c r="I1480" t="str">
        <f>"92223390284"</f>
        <v>92223390284</v>
      </c>
      <c r="J1480" t="str">
        <f>"23-AFFIDAMENTO DIRETTO"</f>
        <v>23-AFFIDAMENTO DIRETTO</v>
      </c>
      <c r="K1480" t="str">
        <f>"24/05/2021"</f>
        <v>24/05/2021</v>
      </c>
      <c r="L1480" t="str">
        <f>"24/08/2021"</f>
        <v>24/08/2021</v>
      </c>
      <c r="M1480" t="str">
        <f>""</f>
        <v/>
      </c>
      <c r="N1480" t="str">
        <f>"Gollo Giovanni Via Vallona 65 35020 Conche di Codevigo PD"</f>
        <v>Gollo Giovanni Via Vallona 65 35020 Conche di Codevigo PD</v>
      </c>
      <c r="O1480" t="str">
        <f>"Gollo Giovanni Via Vallona 65 35020 Conche di Codevigo PD"</f>
        <v>Gollo Giovanni Via Vallona 65 35020 Conche di Codevigo PD</v>
      </c>
      <c r="P1480" t="str">
        <f>"Z121A01322: [458.20€ ]"</f>
        <v>Z121A01322: [458.20€ ]</v>
      </c>
      <c r="Q1480" t="str">
        <f>""</f>
        <v/>
      </c>
      <c r="R1480" t="str">
        <f>""</f>
        <v/>
      </c>
      <c r="S1480" t="str">
        <f>""</f>
        <v/>
      </c>
      <c r="T1480" t="str">
        <f>"https://portaletrasparenza.consorziobacchiglione.it/dettagli/attodigara/461/fornitura-materiale-edile-per-bacino-sesta-presa.html"</f>
        <v>https://portaletrasparenza.consorziobacchiglione.it/dettagli/attodigara/461/fornitura-materiale-edile-per-bacino-sesta-presa.html</v>
      </c>
      <c r="U1480" t="str">
        <f>""</f>
        <v/>
      </c>
      <c r="V1480">
        <f>(SUBSTITUTE(Tabella1[[#This Row],[Importo di aggiudicazione]],".",","))-(SUBSTITUTE(  SUBSTITUTE(          SUBSTITUTE(Tabella1[[#This Row],[Dettaglio somme liquidate]],Tabella1[[#This Row],[CIG]]&amp;": [",""),"€ ]",""),".",","))</f>
        <v>90.000000000000057</v>
      </c>
    </row>
    <row r="1481" spans="1:22" x14ac:dyDescent="0.3">
      <c r="A1481" t="str">
        <f>"Affidamento"</f>
        <v>Affidamento</v>
      </c>
      <c r="B1481" t="str">
        <f>"Corso di formazione per personale Consorziale relativo all'utilizzo di carroponte, trabatelli, scale, trattori agricoli e posizionamente segnaletica da cantiere."</f>
        <v>Corso di formazione per personale Consorziale relativo all'utilizzo di carroponte, trabatelli, scale, trattori agricoli e posizionamente segnaletica da cantiere.</v>
      </c>
      <c r="C1481" t="str">
        <f>"ZA11A0117A"</f>
        <v>ZA11A0117A</v>
      </c>
      <c r="D1481" t="str">
        <f>"04/11/2021"</f>
        <v>04/11/2021</v>
      </c>
      <c r="E1481" t="str">
        <f>""</f>
        <v/>
      </c>
      <c r="F1481" t="str">
        <f>""</f>
        <v/>
      </c>
      <c r="G1481" t="str">
        <f>"2310.00"</f>
        <v>2310.00</v>
      </c>
      <c r="H1481" t="str">
        <f>"Consorzio di bonifica Bacchiglione"</f>
        <v>Consorzio di bonifica Bacchiglione</v>
      </c>
      <c r="I1481" t="str">
        <f>"92223390284"</f>
        <v>92223390284</v>
      </c>
      <c r="J1481" t="str">
        <f>"23-AFFIDAMENTO DIRETTO"</f>
        <v>23-AFFIDAMENTO DIRETTO</v>
      </c>
      <c r="K1481" t="str">
        <f>"24/05/2021"</f>
        <v>24/05/2021</v>
      </c>
      <c r="L1481" t="str">
        <f>"11/12/2021"</f>
        <v>11/12/2021</v>
      </c>
      <c r="M1481" t="str">
        <f>""</f>
        <v/>
      </c>
      <c r="N1481" t="str">
        <f>"Nolo Piovese s.r.l. Via Padana 34 35020 S. Angelo di Piove PD | Obiettivo Ambiente s.r.l. Viale della Navigazione Interna 35 35129 Padova | Adriatica Rental s.r.l. S.S. Adriatica km 7 177 35020 Albignasego PD"</f>
        <v>Nolo Piovese s.r.l. Via Padana 34 35020 S. Angelo di Piove PD | Obiettivo Ambiente s.r.l. Viale della Navigazione Interna 35 35129 Padova | Adriatica Rental s.r.l. S.S. Adriatica km 7 177 35020 Albignasego PD</v>
      </c>
      <c r="O1481" t="str">
        <f>"Obiettivo Ambiente s.r.l. Viale della Navigazione Interna 35 35129 Padova"</f>
        <v>Obiettivo Ambiente s.r.l. Viale della Navigazione Interna 35 35129 Padova</v>
      </c>
      <c r="P1481" t="str">
        <f>"ZA11A0117A: [2060.00€ ]"</f>
        <v>ZA11A0117A: [2060.00€ ]</v>
      </c>
      <c r="Q1481" t="str">
        <f>""</f>
        <v/>
      </c>
      <c r="R1481" t="str">
        <f>""</f>
        <v/>
      </c>
      <c r="S1481" t="str">
        <f>""</f>
        <v/>
      </c>
      <c r="T1481" t="str">
        <f>"https://portaletrasparenza.consorziobacchiglione.it/dettagli/attodigara/460/corso-di-formazione-per-personale-consorziale-relativo-all-utilizzo-di-carroponte-trabatelli-scale-trattori-agricoli-e-posizionamente-segnaletica-da-cantiere.html"</f>
        <v>https://portaletrasparenza.consorziobacchiglione.it/dettagli/attodigara/460/corso-di-formazione-per-personale-consorziale-relativo-all-utilizzo-di-carroponte-trabatelli-scale-trattori-agricoli-e-posizionamente-segnaletica-da-cantiere.html</v>
      </c>
      <c r="U1481" t="str">
        <f>""</f>
        <v/>
      </c>
      <c r="V1481">
        <f>(SUBSTITUTE(Tabella1[[#This Row],[Importo di aggiudicazione]],".",","))-(SUBSTITUTE(  SUBSTITUTE(          SUBSTITUTE(Tabella1[[#This Row],[Dettaglio somme liquidate]],Tabella1[[#This Row],[CIG]]&amp;": [",""),"€ ]",""),".",","))</f>
        <v>250</v>
      </c>
    </row>
    <row r="1482" spans="1:22" x14ac:dyDescent="0.3">
      <c r="A1482" t="str">
        <f>"Affidamento"</f>
        <v>Affidamento</v>
      </c>
      <c r="B1482" t="str">
        <f>"Incarico di autenticazione degli estratti dai giornali di cassa del Tesoriere Consorziale anni 2010-2011 ai fini probatori nella vertenza in atto con Enel Energia SpA avente ad oggetto la restituzione delle somme indebit"</f>
        <v>Incarico di autenticazione degli estratti dai giornali di cassa del Tesoriere Consorziale anni 2010-2011 ai fini probatori nella vertenza in atto con Enel Energia SpA avente ad oggetto la restituzione delle somme indebit</v>
      </c>
      <c r="C1482" t="str">
        <f>"Z1131D700F"</f>
        <v>Z1131D700F</v>
      </c>
      <c r="D1482" t="str">
        <f>"24/05/2021"</f>
        <v>24/05/2021</v>
      </c>
      <c r="E1482" t="str">
        <f>""</f>
        <v/>
      </c>
      <c r="F1482" t="str">
        <f>""</f>
        <v/>
      </c>
      <c r="G1482" t="str">
        <f>"1559.52"</f>
        <v>1559.52</v>
      </c>
      <c r="H1482" t="str">
        <f>"Consorzio di bonifica Bacchiglione"</f>
        <v>Consorzio di bonifica Bacchiglione</v>
      </c>
      <c r="I1482" t="str">
        <f>"92223390284"</f>
        <v>92223390284</v>
      </c>
      <c r="J1482" t="str">
        <f>"23-AFFIDAMENTO DIRETTO"</f>
        <v>23-AFFIDAMENTO DIRETTO</v>
      </c>
      <c r="K1482" t="str">
        <f>"24/05/2021"</f>
        <v>24/05/2021</v>
      </c>
      <c r="L1482" t="str">
        <f>"02/07/2021"</f>
        <v>02/07/2021</v>
      </c>
      <c r="M1482" t="str">
        <f>""</f>
        <v/>
      </c>
      <c r="N1482" t="str">
        <f>"NOTAIO DARIA RIGHETTO"</f>
        <v>NOTAIO DARIA RIGHETTO</v>
      </c>
      <c r="O1482" t="str">
        <f>"NOTAIO DARIA RIGHETTO"</f>
        <v>NOTAIO DARIA RIGHETTO</v>
      </c>
      <c r="P1482" t="s">
        <v>163</v>
      </c>
      <c r="Q1482" t="str">
        <f>""</f>
        <v/>
      </c>
      <c r="R1482" t="str">
        <f>""</f>
        <v/>
      </c>
      <c r="S1482" t="str">
        <f>""</f>
        <v/>
      </c>
      <c r="T1482" t="s">
        <v>101</v>
      </c>
      <c r="U1482" t="str">
        <f>"https://portaletrasparenza.consorziobacchiglione.it/download/attodigara/6897/63ac458fbdd97.PDF"</f>
        <v>https://portaletrasparenza.consorziobacchiglione.it/download/attodigara/6897/63ac458fbdd97.PDF</v>
      </c>
      <c r="V14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83" spans="1:22" x14ac:dyDescent="0.3">
      <c r="A1483" t="str">
        <f>"Affidamento"</f>
        <v>Affidamento</v>
      </c>
      <c r="B1483" t="str">
        <f>"Affidamento incarico attività di assistenza stragiudiziale causa Panizzzolo Alfredo - Processo ID 007-07."</f>
        <v>Affidamento incarico attività di assistenza stragiudiziale causa Panizzzolo Alfredo - Processo ID 007-07.</v>
      </c>
      <c r="C1483" t="str">
        <f>"ZCE31D70FF"</f>
        <v>ZCE31D70FF</v>
      </c>
      <c r="D1483" t="str">
        <f>"24/05/2021"</f>
        <v>24/05/2021</v>
      </c>
      <c r="E1483" t="str">
        <f>""</f>
        <v/>
      </c>
      <c r="F1483" t="str">
        <f>""</f>
        <v/>
      </c>
      <c r="G1483" t="str">
        <f>"804.56"</f>
        <v>804.56</v>
      </c>
      <c r="H1483" t="str">
        <f>"Consorzio di bonifica Bacchiglione"</f>
        <v>Consorzio di bonifica Bacchiglione</v>
      </c>
      <c r="I1483" t="str">
        <f>"92223390284"</f>
        <v>92223390284</v>
      </c>
      <c r="J1483" t="str">
        <f>"23-AFFIDAMENTO DIRETTO"</f>
        <v>23-AFFIDAMENTO DIRETTO</v>
      </c>
      <c r="K1483" t="str">
        <f>"24/05/2021"</f>
        <v>24/05/2021</v>
      </c>
      <c r="L1483" t="str">
        <f>"16/08/2021"</f>
        <v>16/08/2021</v>
      </c>
      <c r="M1483" t="str">
        <f>""</f>
        <v/>
      </c>
      <c r="N1483" t="str">
        <f>"PIOVAN SILVIA"</f>
        <v>PIOVAN SILVIA</v>
      </c>
      <c r="O1483" t="str">
        <f>"PIOVAN SILVIA"</f>
        <v>PIOVAN SILVIA</v>
      </c>
      <c r="P1483" t="str">
        <f>"ZCE31D70FF: [600.00€ ]"</f>
        <v>ZCE31D70FF: [600.00€ ]</v>
      </c>
      <c r="Q1483" t="str">
        <f>""</f>
        <v/>
      </c>
      <c r="R1483" t="str">
        <f>""</f>
        <v/>
      </c>
      <c r="S1483" t="str">
        <f>""</f>
        <v/>
      </c>
      <c r="T1483" t="str">
        <f>"https://portaletrasparenza.consorziobacchiglione.it/dettagli/attodigara/6898/affidamento-incarico-attivita-di-assistenza-stragiudiziale-causa-panizzzolo-alfredo-processo-id-007-07.html"</f>
        <v>https://portaletrasparenza.consorziobacchiglione.it/dettagli/attodigara/6898/affidamento-incarico-attivita-di-assistenza-stragiudiziale-causa-panizzzolo-alfredo-processo-id-007-07.html</v>
      </c>
      <c r="U1483" t="str">
        <f>"https://portaletrasparenza.consorziobacchiglione.it/download/attodigara/6898/63ac4590026a7.PDF"</f>
        <v>https://portaletrasparenza.consorziobacchiglione.it/download/attodigara/6898/63ac4590026a7.PDF</v>
      </c>
      <c r="V1483">
        <f>(SUBSTITUTE(Tabella1[[#This Row],[Importo di aggiudicazione]],".",","))-(SUBSTITUTE(  SUBSTITUTE(          SUBSTITUTE(Tabella1[[#This Row],[Dettaglio somme liquidate]],Tabella1[[#This Row],[CIG]]&amp;": [",""),"€ ]",""),".",","))</f>
        <v>204.55999999999995</v>
      </c>
    </row>
    <row r="1484" spans="1:22" x14ac:dyDescent="0.3">
      <c r="A1484" t="str">
        <f>"Affidamento"</f>
        <v>Affidamento</v>
      </c>
      <c r="B1484" t="str">
        <f>"Lavoro idraulico presso Idrovora Pratiarcati e Impianto Irriguo Olmo"</f>
        <v>Lavoro idraulico presso Idrovora Pratiarcati e Impianto Irriguo Olmo</v>
      </c>
      <c r="C1484" t="str">
        <f>"ZE631D91F0"</f>
        <v>ZE631D91F0</v>
      </c>
      <c r="D1484" t="str">
        <f>"26/05/2021"</f>
        <v>26/05/2021</v>
      </c>
      <c r="E1484" t="str">
        <f>""</f>
        <v/>
      </c>
      <c r="F1484" t="str">
        <f>""</f>
        <v/>
      </c>
      <c r="G1484" t="str">
        <f>"600.30"</f>
        <v>600.30</v>
      </c>
      <c r="H1484" t="str">
        <f>"Consorzio di bonifica Bacchiglione"</f>
        <v>Consorzio di bonifica Bacchiglione</v>
      </c>
      <c r="I1484" t="str">
        <f>"92223390284"</f>
        <v>92223390284</v>
      </c>
      <c r="J1484" t="str">
        <f>"23-AFFIDAMENTO DIRETTO"</f>
        <v>23-AFFIDAMENTO DIRETTO</v>
      </c>
      <c r="K1484" t="str">
        <f>"24/05/2021"</f>
        <v>24/05/2021</v>
      </c>
      <c r="L1484" t="str">
        <f>"29/06/2021"</f>
        <v>29/06/2021</v>
      </c>
      <c r="M1484" t="str">
        <f>""</f>
        <v/>
      </c>
      <c r="N1484" t="str">
        <f>"Giraldo Impianti SNC di Giraldo Danilo e Silvio Via Flli Cervi 1-II 30010 Campolongo Maggiore VE"</f>
        <v>Giraldo Impianti SNC di Giraldo Danilo e Silvio Via Flli Cervi 1-II 30010 Campolongo Maggiore VE</v>
      </c>
      <c r="O1484" t="str">
        <f>"Giraldo Impianti SNC di Giraldo Danilo e Silvio Via Flli Cervi 1-II 30010 Campolongo Maggiore VE"</f>
        <v>Giraldo Impianti SNC di Giraldo Danilo e Silvio Via Flli Cervi 1-II 30010 Campolongo Maggiore VE</v>
      </c>
      <c r="P1484" t="str">
        <f>"ZE631D91F0: [600.30€ ]"</f>
        <v>ZE631D91F0: [600.30€ ]</v>
      </c>
      <c r="Q1484" t="str">
        <f>""</f>
        <v/>
      </c>
      <c r="R1484" t="str">
        <f>""</f>
        <v/>
      </c>
      <c r="S1484" t="str">
        <f>""</f>
        <v/>
      </c>
      <c r="T1484" t="str">
        <f>"https://portaletrasparenza.consorziobacchiglione.it/dettagli/attodigara/6901/lavoro-idraulico-presso-idrovora-pratiarcati-e-impianto-irriguo-olmo.html"</f>
        <v>https://portaletrasparenza.consorziobacchiglione.it/dettagli/attodigara/6901/lavoro-idraulico-presso-idrovora-pratiarcati-e-impianto-irriguo-olmo.html</v>
      </c>
      <c r="U1484" t="str">
        <f>"https://portaletrasparenza.consorziobacchiglione.it/download/attodigara/6901/63ac459139efa.PDF"</f>
        <v>https://portaletrasparenza.consorziobacchiglione.it/download/attodigara/6901/63ac459139efa.PDF</v>
      </c>
      <c r="V14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85" spans="1:22" x14ac:dyDescent="0.3">
      <c r="A1485" t="str">
        <f>"Affidamento"</f>
        <v>Affidamento</v>
      </c>
      <c r="B1485" t="str">
        <f>"Manutenzione e riparazione mezzo con targa: AKB015"</f>
        <v>Manutenzione e riparazione mezzo con targa: AKB015</v>
      </c>
      <c r="C1485" t="str">
        <f>"Z3531D6EFA"</f>
        <v>Z3531D6EFA</v>
      </c>
      <c r="D1485" t="str">
        <f>"26/05/2021"</f>
        <v>26/05/2021</v>
      </c>
      <c r="E1485" t="str">
        <f>""</f>
        <v/>
      </c>
      <c r="F1485" t="str">
        <f>""</f>
        <v/>
      </c>
      <c r="G1485" t="str">
        <f>"5759.25"</f>
        <v>5759.25</v>
      </c>
      <c r="H1485" t="str">
        <f>"Consorzio di bonifica Bacchiglione"</f>
        <v>Consorzio di bonifica Bacchiglione</v>
      </c>
      <c r="I1485" t="str">
        <f>"92223390284"</f>
        <v>92223390284</v>
      </c>
      <c r="J1485" t="str">
        <f>"23-AFFIDAMENTO DIRETTO"</f>
        <v>23-AFFIDAMENTO DIRETTO</v>
      </c>
      <c r="K1485" t="str">
        <f>"24/05/2021"</f>
        <v>24/05/2021</v>
      </c>
      <c r="L1485" t="str">
        <f>"08/06/2021"</f>
        <v>08/06/2021</v>
      </c>
      <c r="M1485" t="str">
        <f>""</f>
        <v/>
      </c>
      <c r="N1485" t="str">
        <f>"Officina Biesse S.n.c. Via Matteotti 24 35020 Arzergrande PD"</f>
        <v>Officina Biesse S.n.c. Via Matteotti 24 35020 Arzergrande PD</v>
      </c>
      <c r="O1485" t="str">
        <f>"Officina Biesse S.n.c. Via Matteotti 24 35020 Arzergrande PD"</f>
        <v>Officina Biesse S.n.c. Via Matteotti 24 35020 Arzergrande PD</v>
      </c>
      <c r="P1485" t="str">
        <f>"Z3531D6EFA: [5759.25€ ]"</f>
        <v>Z3531D6EFA: [5759.25€ ]</v>
      </c>
      <c r="Q1485" t="str">
        <f>""</f>
        <v/>
      </c>
      <c r="R1485" t="str">
        <f>""</f>
        <v/>
      </c>
      <c r="S1485" t="str">
        <f>""</f>
        <v/>
      </c>
      <c r="T1485" t="str">
        <f>"https://portaletrasparenza.consorziobacchiglione.it/dettagli/attodigara/6899/manutenzione-e-riparazione-mezzo-con-targa-akb015.html"</f>
        <v>https://portaletrasparenza.consorziobacchiglione.it/dettagli/attodigara/6899/manutenzione-e-riparazione-mezzo-con-targa-akb015.html</v>
      </c>
      <c r="U1485" t="str">
        <f>"https://portaletrasparenza.consorziobacchiglione.it/download/attodigara/6899/63ac4590b1870.PDF"</f>
        <v>https://portaletrasparenza.consorziobacchiglione.it/download/attodigara/6899/63ac4590b1870.PDF</v>
      </c>
      <c r="V14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86" spans="1:22" x14ac:dyDescent="0.3">
      <c r="A1486" t="str">
        <f>"Affidamento"</f>
        <v>Affidamento</v>
      </c>
      <c r="B1486" t="str">
        <f>"Fornitura materiale elettrico per vari Impianti"</f>
        <v>Fornitura materiale elettrico per vari Impianti</v>
      </c>
      <c r="C1486" t="str">
        <f>"Z7431D8FA5"</f>
        <v>Z7431D8FA5</v>
      </c>
      <c r="D1486" t="str">
        <f>"26/05/2021"</f>
        <v>26/05/2021</v>
      </c>
      <c r="E1486" t="str">
        <f>""</f>
        <v/>
      </c>
      <c r="F1486" t="str">
        <f>""</f>
        <v/>
      </c>
      <c r="G1486" t="str">
        <f>"710.77"</f>
        <v>710.77</v>
      </c>
      <c r="H1486" t="str">
        <f>"Consorzio di bonifica Bacchiglione"</f>
        <v>Consorzio di bonifica Bacchiglione</v>
      </c>
      <c r="I1486" t="str">
        <f>"92223390284"</f>
        <v>92223390284</v>
      </c>
      <c r="J1486" t="str">
        <f>"23-AFFIDAMENTO DIRETTO"</f>
        <v>23-AFFIDAMENTO DIRETTO</v>
      </c>
      <c r="K1486" t="str">
        <f>"24/05/2021"</f>
        <v>24/05/2021</v>
      </c>
      <c r="L1486" t="str">
        <f>"30/06/2021"</f>
        <v>30/06/2021</v>
      </c>
      <c r="M1486" t="str">
        <f>""</f>
        <v/>
      </c>
      <c r="N1486" t="str">
        <f>"Marchiol S.P.A. Viale della Repubblica 41 31020 sede legale Villorba TV"</f>
        <v>Marchiol S.P.A. Viale della Repubblica 41 31020 sede legale Villorba TV</v>
      </c>
      <c r="O1486" t="str">
        <f>"Marchiol S.P.A. Viale della Repubblica 41 31020 sede legale Villorba TV"</f>
        <v>Marchiol S.P.A. Viale della Repubblica 41 31020 sede legale Villorba TV</v>
      </c>
      <c r="P1486" t="str">
        <f>"Z7431D8FA5: [544.89€ ]"</f>
        <v>Z7431D8FA5: [544.89€ ]</v>
      </c>
      <c r="Q1486" t="str">
        <f>""</f>
        <v/>
      </c>
      <c r="R1486" t="str">
        <f>""</f>
        <v/>
      </c>
      <c r="S1486" t="str">
        <f>""</f>
        <v/>
      </c>
      <c r="T1486" t="str">
        <f>"https://portaletrasparenza.consorziobacchiglione.it/dettagli/attodigara/6900/fornitura-materiale-elettrico-per-vari-impianti.html"</f>
        <v>https://portaletrasparenza.consorziobacchiglione.it/dettagli/attodigara/6900/fornitura-materiale-elettrico-per-vari-impianti.html</v>
      </c>
      <c r="U1486" t="str">
        <f>"https://portaletrasparenza.consorziobacchiglione.it/download/attodigara/6900/63ac4590ea061.PDF"</f>
        <v>https://portaletrasparenza.consorziobacchiglione.it/download/attodigara/6900/63ac4590ea061.PDF</v>
      </c>
      <c r="V1486">
        <f>(SUBSTITUTE(Tabella1[[#This Row],[Importo di aggiudicazione]],".",","))-(SUBSTITUTE(  SUBSTITUTE(          SUBSTITUTE(Tabella1[[#This Row],[Dettaglio somme liquidate]],Tabella1[[#This Row],[CIG]]&amp;": [",""),"€ ]",""),".",","))</f>
        <v>165.88</v>
      </c>
    </row>
    <row r="1487" spans="1:22" x14ac:dyDescent="0.3">
      <c r="A1487" t="str">
        <f>"Affidamento"</f>
        <v>Affidamento</v>
      </c>
      <c r="B1487" t="str">
        <f>"Manutenzione e riparazione mezzo con targa: PDB49361"</f>
        <v>Manutenzione e riparazione mezzo con targa: PDB49361</v>
      </c>
      <c r="C1487" t="str">
        <f>"ZC81AFA4C5"</f>
        <v>ZC81AFA4C5</v>
      </c>
      <c r="D1487" t="str">
        <f>"04/11/2021"</f>
        <v>04/11/2021</v>
      </c>
      <c r="E1487" t="str">
        <f>""</f>
        <v/>
      </c>
      <c r="F1487" t="str">
        <f>""</f>
        <v/>
      </c>
      <c r="G1487" t="str">
        <f>"197.76"</f>
        <v>197.76</v>
      </c>
      <c r="H1487" t="str">
        <f>"Consorzio di bonifica Bacchiglione"</f>
        <v>Consorzio di bonifica Bacchiglione</v>
      </c>
      <c r="I1487" t="str">
        <f>"92223390284"</f>
        <v>92223390284</v>
      </c>
      <c r="J1487" t="str">
        <f>"23-AFFIDAMENTO DIRETTO"</f>
        <v>23-AFFIDAMENTO DIRETTO</v>
      </c>
      <c r="K1487" t="str">
        <f>"24/08/2021"</f>
        <v>24/08/2021</v>
      </c>
      <c r="L1487" t="str">
        <f>"09/11/2021"</f>
        <v>09/11/2021</v>
      </c>
      <c r="M1487" t="str">
        <f>""</f>
        <v/>
      </c>
      <c r="N1487" t="str">
        <f>"Negrisolo Officina Meccanica s.a.s. V.le delle Industrie II° strada 13 35025 Cagnola di Cartura PD"</f>
        <v>Negrisolo Officina Meccanica s.a.s. V.le delle Industrie II° strada 13 35025 Cagnola di Cartura PD</v>
      </c>
      <c r="O1487" t="str">
        <f>"Negrisolo Officina Meccanica s.a.s. V.le delle Industrie II° strada 13 35025 Cagnola di Cartura PD"</f>
        <v>Negrisolo Officina Meccanica s.a.s. V.le delle Industrie II° strada 13 35025 Cagnola di Cartura PD</v>
      </c>
      <c r="P1487" t="s">
        <v>360</v>
      </c>
      <c r="Q1487" t="str">
        <f>""</f>
        <v/>
      </c>
      <c r="R1487" t="str">
        <f>""</f>
        <v/>
      </c>
      <c r="S1487" t="str">
        <f>""</f>
        <v/>
      </c>
      <c r="T1487" t="str">
        <f>"https://portaletrasparenza.consorziobacchiglione.it/dettagli/attodigara/689/manutenzione-e-riparazione-mezzo-con-targa-pdb49361.html"</f>
        <v>https://portaletrasparenza.consorziobacchiglione.it/dettagli/attodigara/689/manutenzione-e-riparazione-mezzo-con-targa-pdb49361.html</v>
      </c>
      <c r="U1487" t="str">
        <f>""</f>
        <v/>
      </c>
      <c r="V14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88" spans="1:22" x14ac:dyDescent="0.3">
      <c r="A1488" t="str">
        <f>"Affidamento"</f>
        <v>Affidamento</v>
      </c>
      <c r="B1488" t="str">
        <f>"Manutenzione e riparazione mezzi con targa: AHH573, PDB49361, PDAF497, motobarca n 8."</f>
        <v>Manutenzione e riparazione mezzi con targa: AHH573, PDB49361, PDAF497, motobarca n 8.</v>
      </c>
      <c r="C1488" t="str">
        <f>"Z9E1AF9E5A"</f>
        <v>Z9E1AF9E5A</v>
      </c>
      <c r="D1488" t="str">
        <f>"04/11/2021"</f>
        <v>04/11/2021</v>
      </c>
      <c r="E1488" t="str">
        <f>""</f>
        <v/>
      </c>
      <c r="F1488" t="str">
        <f>""</f>
        <v/>
      </c>
      <c r="G1488" t="str">
        <f>"3098.99"</f>
        <v>3098.99</v>
      </c>
      <c r="H1488" t="str">
        <f>"Consorzio di bonifica Bacchiglione"</f>
        <v>Consorzio di bonifica Bacchiglione</v>
      </c>
      <c r="I1488" t="str">
        <f>"92223390284"</f>
        <v>92223390284</v>
      </c>
      <c r="J1488" t="str">
        <f>"23-AFFIDAMENTO DIRETTO"</f>
        <v>23-AFFIDAMENTO DIRETTO</v>
      </c>
      <c r="K1488" t="str">
        <f>"24/08/2021"</f>
        <v>24/08/2021</v>
      </c>
      <c r="L1488" t="str">
        <f>"09/11/2021"</f>
        <v>09/11/2021</v>
      </c>
      <c r="M1488" t="str">
        <f>""</f>
        <v/>
      </c>
      <c r="N1488" t="str">
        <f>"Negrisolo Officina Meccanica s.a.s. V.le delle Industrie II° strada 13 35025 Cagnola di Cartura PD"</f>
        <v>Negrisolo Officina Meccanica s.a.s. V.le delle Industrie II° strada 13 35025 Cagnola di Cartura PD</v>
      </c>
      <c r="O1488" t="str">
        <f>"Negrisolo Officina Meccanica s.a.s. V.le delle Industrie II° strada 13 35025 Cagnola di Cartura PD"</f>
        <v>Negrisolo Officina Meccanica s.a.s. V.le delle Industrie II° strada 13 35025 Cagnola di Cartura PD</v>
      </c>
      <c r="P1488" t="str">
        <f>"Z9E1AF9E5A: [3098.99€ ]"</f>
        <v>Z9E1AF9E5A: [3098.99€ ]</v>
      </c>
      <c r="Q1488" t="str">
        <f>""</f>
        <v/>
      </c>
      <c r="R1488" t="str">
        <f>""</f>
        <v/>
      </c>
      <c r="S1488" t="str">
        <f>""</f>
        <v/>
      </c>
      <c r="T1488" t="str">
        <f>"https://portaletrasparenza.consorziobacchiglione.it/dettagli/attodigara/688/manutenzione-e-riparazione-mezzi-con-targa-ahh573-pdb49361-pdaf497-motobarca-n-8.html"</f>
        <v>https://portaletrasparenza.consorziobacchiglione.it/dettagli/attodigara/688/manutenzione-e-riparazione-mezzi-con-targa-ahh573-pdb49361-pdaf497-motobarca-n-8.html</v>
      </c>
      <c r="U1488" t="str">
        <f>""</f>
        <v/>
      </c>
      <c r="V148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89" spans="1:22" x14ac:dyDescent="0.3">
      <c r="A1489" t="str">
        <f>"Affidamento"</f>
        <v>Affidamento</v>
      </c>
      <c r="B1489" t="str">
        <f>"Riparazione e manutenzione Elettrovalvola di disadescamento modello ED150 presso Idrovora Madonnetta"</f>
        <v>Riparazione e manutenzione Elettrovalvola di disadescamento modello ED150 presso Idrovora Madonnetta</v>
      </c>
      <c r="C1489" t="str">
        <f>"ZD432D2A75"</f>
        <v>ZD432D2A75</v>
      </c>
      <c r="D1489" t="str">
        <f>"24/08/2021"</f>
        <v>24/08/2021</v>
      </c>
      <c r="E1489" t="str">
        <f>""</f>
        <v/>
      </c>
      <c r="F1489" t="str">
        <f>""</f>
        <v/>
      </c>
      <c r="G1489" t="str">
        <f>"2890.00"</f>
        <v>2890.00</v>
      </c>
      <c r="H1489" t="str">
        <f>"Consorzio di bonifica Bacchiglione"</f>
        <v>Consorzio di bonifica Bacchiglione</v>
      </c>
      <c r="I1489" t="str">
        <f>"92223390284"</f>
        <v>92223390284</v>
      </c>
      <c r="J1489" t="str">
        <f>"23-AFFIDAMENTO DIRETTO"</f>
        <v>23-AFFIDAMENTO DIRETTO</v>
      </c>
      <c r="K1489" t="str">
        <f>"24/08/2021"</f>
        <v>24/08/2021</v>
      </c>
      <c r="L1489" t="str">
        <f>"30/09/2021"</f>
        <v>30/09/2021</v>
      </c>
      <c r="M1489" t="str">
        <f>""</f>
        <v/>
      </c>
      <c r="N1489" t="str">
        <f>"Scarpa Sergio Elettromeccanica S.n.c. di Scarpa Paola E C. Via A. Vivaldi 7 35028 Piove di Sacco PD"</f>
        <v>Scarpa Sergio Elettromeccanica S.n.c. di Scarpa Paola E C. Via A. Vivaldi 7 35028 Piove di Sacco PD</v>
      </c>
      <c r="O1489" t="str">
        <f>"Scarpa Sergio Elettromeccanica S.n.c. di Scarpa Paola E C. Via A. Vivaldi 7 35028 Piove di Sacco PD"</f>
        <v>Scarpa Sergio Elettromeccanica S.n.c. di Scarpa Paola E C. Via A. Vivaldi 7 35028 Piove di Sacco PD</v>
      </c>
      <c r="P1489" t="s">
        <v>206</v>
      </c>
      <c r="Q1489" t="str">
        <f>""</f>
        <v/>
      </c>
      <c r="R1489" t="str">
        <f>""</f>
        <v/>
      </c>
      <c r="S1489" t="str">
        <f>""</f>
        <v/>
      </c>
      <c r="T1489" t="str">
        <f>"https://portaletrasparenza.consorziobacchiglione.it/dettagli/attodigara/7085/riparazione-e-manutenzione-elettrovalvola-di-disadescamento-modello-ed150-presso-idrovora-madonnetta.html"</f>
        <v>https://portaletrasparenza.consorziobacchiglione.it/dettagli/attodigara/7085/riparazione-e-manutenzione-elettrovalvola-di-disadescamento-modello-ed150-presso-idrovora-madonnetta.html</v>
      </c>
      <c r="U1489" t="str">
        <f>"https://portaletrasparenza.consorziobacchiglione.it/download/attodigara/7085/63ac45b8dffbd.PDF"</f>
        <v>https://portaletrasparenza.consorziobacchiglione.it/download/attodigara/7085/63ac45b8dffbd.PDF</v>
      </c>
      <c r="V14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90" spans="1:22" x14ac:dyDescent="0.3">
      <c r="A1490" t="str">
        <f>"Affidamento"</f>
        <v>Affidamento</v>
      </c>
      <c r="B1490" t="str">
        <f>"Fornitura n.2000 mascherine chirurgiche 3 strati, gel igienizzante mani e alcool per personale consortile"</f>
        <v>Fornitura n.2000 mascherine chirurgiche 3 strati, gel igienizzante mani e alcool per personale consortile</v>
      </c>
      <c r="C1490" t="str">
        <f>"Z3732D2566"</f>
        <v>Z3732D2566</v>
      </c>
      <c r="D1490" t="str">
        <f>"24/08/2021"</f>
        <v>24/08/2021</v>
      </c>
      <c r="E1490" t="str">
        <f>""</f>
        <v/>
      </c>
      <c r="F1490" t="str">
        <f>""</f>
        <v/>
      </c>
      <c r="G1490" t="str">
        <f>"317.94"</f>
        <v>317.94</v>
      </c>
      <c r="H1490" t="str">
        <f>"Consorzio di bonifica Bacchiglione"</f>
        <v>Consorzio di bonifica Bacchiglione</v>
      </c>
      <c r="I1490" t="str">
        <f>"92223390284"</f>
        <v>92223390284</v>
      </c>
      <c r="J1490" t="str">
        <f>"23-AFFIDAMENTO DIRETTO"</f>
        <v>23-AFFIDAMENTO DIRETTO</v>
      </c>
      <c r="K1490" t="str">
        <f>"24/08/2021"</f>
        <v>24/08/2021</v>
      </c>
      <c r="L1490" t="str">
        <f>"17/09/2021"</f>
        <v>17/09/2021</v>
      </c>
      <c r="M1490" t="str">
        <f>""</f>
        <v/>
      </c>
      <c r="N1490" t="str">
        <f>"Bianchi Ingrosso S.R.L. Via Desman 503 - 35010 Borgoricco (PD)"</f>
        <v>Bianchi Ingrosso S.R.L. Via Desman 503 - 35010 Borgoricco (PD)</v>
      </c>
      <c r="O1490" t="str">
        <f>"Bianchi Ingrosso S.R.L. Via Desman 503 - 35010 Borgoricco (PD)"</f>
        <v>Bianchi Ingrosso S.R.L. Via Desman 503 - 35010 Borgoricco (PD)</v>
      </c>
      <c r="P1490" t="s">
        <v>290</v>
      </c>
      <c r="Q1490" t="str">
        <f>""</f>
        <v/>
      </c>
      <c r="R1490" t="str">
        <f>""</f>
        <v/>
      </c>
      <c r="S1490" t="str">
        <f>""</f>
        <v/>
      </c>
      <c r="T1490" t="str">
        <f>"https://portaletrasparenza.consorziobacchiglione.it/dettagli/attodigara/7084/fornitura-n-2000-mascherine-chirurgiche-3-strati-gel-igienizzante-mani-e-alcool-per-personale-consortile.html"</f>
        <v>https://portaletrasparenza.consorziobacchiglione.it/dettagli/attodigara/7084/fornitura-n-2000-mascherine-chirurgiche-3-strati-gel-igienizzante-mani-e-alcool-per-personale-consortile.html</v>
      </c>
      <c r="U1490" t="str">
        <f>"https://portaletrasparenza.consorziobacchiglione.it/download/attodigara/7084/63ac45b8a7433.PDF"</f>
        <v>https://portaletrasparenza.consorziobacchiglione.it/download/attodigara/7084/63ac45b8a7433.PDF</v>
      </c>
      <c r="V14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91" spans="1:22" x14ac:dyDescent="0.3">
      <c r="A1491" t="str">
        <f>"Affidamento"</f>
        <v>Affidamento</v>
      </c>
      <c r="B1491" t="str">
        <f>"Fornitura di n.1000 mascherine chirurgiche 3 strati per personale esterno"</f>
        <v>Fornitura di n.1000 mascherine chirurgiche 3 strati per personale esterno</v>
      </c>
      <c r="C1491" t="str">
        <f>"Z0532D22B5"</f>
        <v>Z0532D22B5</v>
      </c>
      <c r="D1491" t="str">
        <f>"24/08/2021"</f>
        <v>24/08/2021</v>
      </c>
      <c r="E1491" t="str">
        <f>""</f>
        <v/>
      </c>
      <c r="F1491" t="str">
        <f>""</f>
        <v/>
      </c>
      <c r="G1491" t="str">
        <f>"118.87"</f>
        <v>118.87</v>
      </c>
      <c r="H1491" t="str">
        <f>"Consorzio di bonifica Bacchiglione"</f>
        <v>Consorzio di bonifica Bacchiglione</v>
      </c>
      <c r="I1491" t="str">
        <f>"92223390284"</f>
        <v>92223390284</v>
      </c>
      <c r="J1491" t="str">
        <f>"23-AFFIDAMENTO DIRETTO"</f>
        <v>23-AFFIDAMENTO DIRETTO</v>
      </c>
      <c r="K1491" t="str">
        <f>"24/08/2021"</f>
        <v>24/08/2021</v>
      </c>
      <c r="L1491" t="str">
        <f>"30/09/2021"</f>
        <v>30/09/2021</v>
      </c>
      <c r="M1491" t="str">
        <f>""</f>
        <v/>
      </c>
      <c r="N1491" t="str">
        <f>"Fip Articoli Tecnici S.r.l. Viale Regione Veneto 9 35127 Padova"</f>
        <v>Fip Articoli Tecnici S.r.l. Viale Regione Veneto 9 35127 Padova</v>
      </c>
      <c r="O1491" t="str">
        <f>"Fip Articoli Tecnici S.r.l. Viale Regione Veneto 9 35127 Padova"</f>
        <v>Fip Articoli Tecnici S.r.l. Viale Regione Veneto 9 35127 Padova</v>
      </c>
      <c r="P1491" t="s">
        <v>341</v>
      </c>
      <c r="Q1491" t="str">
        <f>""</f>
        <v/>
      </c>
      <c r="R1491" t="str">
        <f>""</f>
        <v/>
      </c>
      <c r="S1491" t="str">
        <f>""</f>
        <v/>
      </c>
      <c r="T1491" t="str">
        <f>"https://portaletrasparenza.consorziobacchiglione.it/dettagli/attodigara/7083/fornitura-di-n-1000-mascherine-chirurgiche-3-strati-per-personale-esterno.html"</f>
        <v>https://portaletrasparenza.consorziobacchiglione.it/dettagli/attodigara/7083/fornitura-di-n-1000-mascherine-chirurgiche-3-strati-per-personale-esterno.html</v>
      </c>
      <c r="U1491" t="str">
        <f>"https://portaletrasparenza.consorziobacchiglione.it/download/attodigara/7083/63ac45b86e9d3.PDF"</f>
        <v>https://portaletrasparenza.consorziobacchiglione.it/download/attodigara/7083/63ac45b86e9d3.PDF</v>
      </c>
      <c r="V14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92" spans="1:22" x14ac:dyDescent="0.3">
      <c r="A1492" t="str">
        <f>"Affidamento"</f>
        <v>Affidamento</v>
      </c>
      <c r="B1492" t="str">
        <f>"Opere in diretta amministrazione."</f>
        <v>Opere in diretta amministrazione.</v>
      </c>
      <c r="C1492" t="str">
        <f>"Z1A32D14C2"</f>
        <v>Z1A32D14C2</v>
      </c>
      <c r="D1492" t="str">
        <f>"25/08/2021"</f>
        <v>25/08/2021</v>
      </c>
      <c r="E1492" t="str">
        <f>""</f>
        <v/>
      </c>
      <c r="F1492" t="str">
        <f>""</f>
        <v/>
      </c>
      <c r="G1492" t="str">
        <f>"13657.14"</f>
        <v>13657.14</v>
      </c>
      <c r="H1492" t="str">
        <f>"Consorzio di bonifica Bacchiglione"</f>
        <v>Consorzio di bonifica Bacchiglione</v>
      </c>
      <c r="I1492" t="str">
        <f>"92223390284"</f>
        <v>92223390284</v>
      </c>
      <c r="J1492" t="str">
        <f>"23-AFFIDAMENTO DIRETTO"</f>
        <v>23-AFFIDAMENTO DIRETTO</v>
      </c>
      <c r="K1492" t="str">
        <f>"24/08/2021"</f>
        <v>24/08/2021</v>
      </c>
      <c r="L1492" t="str">
        <f>"17/02/2022"</f>
        <v>17/02/2022</v>
      </c>
      <c r="M1492" t="str">
        <f>""</f>
        <v/>
      </c>
      <c r="N1492" t="str">
        <f>"Viale Valter | GARDIN SANDRO | Vanuzzo Franco"</f>
        <v>Viale Valter | GARDIN SANDRO | Vanuzzo Franco</v>
      </c>
      <c r="O1492" t="str">
        <f>"Viale Valter"</f>
        <v>Viale Valter</v>
      </c>
      <c r="P1492" t="str">
        <f>"Z1A32D14C2: [13657.14€ ]"</f>
        <v>Z1A32D14C2: [13657.14€ ]</v>
      </c>
      <c r="Q1492" t="str">
        <f>""</f>
        <v/>
      </c>
      <c r="R1492" t="str">
        <f>""</f>
        <v/>
      </c>
      <c r="S1492" t="str">
        <f>""</f>
        <v/>
      </c>
      <c r="T1492" t="str">
        <f>"https://portaletrasparenza.consorziobacchiglione.it/dettagli/attodigara/7082/opere-in-diretta-amministrazione.html"</f>
        <v>https://portaletrasparenza.consorziobacchiglione.it/dettagli/attodigara/7082/opere-in-diretta-amministrazione.html</v>
      </c>
      <c r="U1492" t="str">
        <f>"https://portaletrasparenza.consorziobacchiglione.it/download/attodigara/7082/63ac45b95d142.PDF"</f>
        <v>https://portaletrasparenza.consorziobacchiglione.it/download/attodigara/7082/63ac45b95d142.PDF</v>
      </c>
      <c r="V149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93" spans="1:22" x14ac:dyDescent="0.3">
      <c r="A1493" t="str">
        <f>"Affidamento"</f>
        <v>Affidamento</v>
      </c>
      <c r="B1493" t="str">
        <f>"Maggiori opere ai lavori principali affidati con determina 510 del 27/07/21 per costruzione nuova recinzione in calcestruzzo presso Botte Tassia per delimitazione dell'area di servizio al nuovo sgrigliatore di futura ins"</f>
        <v>Maggiori opere ai lavori principali affidati con determina 510 del 27/07/21 per costruzione nuova recinzione in calcestruzzo presso Botte Tassia per delimitazione dell'area di servizio al nuovo sgrigliatore di futura ins</v>
      </c>
      <c r="C1493" t="str">
        <f>"ZE4332E4A6"</f>
        <v>ZE4332E4A6</v>
      </c>
      <c r="D1493" t="str">
        <f>"08/11/2021"</f>
        <v>08/11/2021</v>
      </c>
      <c r="E1493" t="str">
        <f>""</f>
        <v/>
      </c>
      <c r="F1493" t="str">
        <f>""</f>
        <v/>
      </c>
      <c r="G1493" t="str">
        <f>"1836.90"</f>
        <v>1836.90</v>
      </c>
      <c r="H1493" t="str">
        <f>"Consorzio di bonifica Bacchiglione"</f>
        <v>Consorzio di bonifica Bacchiglione</v>
      </c>
      <c r="I1493" t="str">
        <f>"92223390284"</f>
        <v>92223390284</v>
      </c>
      <c r="J1493" t="str">
        <f>"23-AFFIDAMENTO DIRETTO"</f>
        <v>23-AFFIDAMENTO DIRETTO</v>
      </c>
      <c r="K1493" t="str">
        <f>"24/09/2021"</f>
        <v>24/09/2021</v>
      </c>
      <c r="L1493" t="str">
        <f>"15/10/2021"</f>
        <v>15/10/2021</v>
      </c>
      <c r="M1493" t="str">
        <f>""</f>
        <v/>
      </c>
      <c r="N1493" t="str">
        <f>"Edilvi SAS di Viel Dario, Viel Denis E C. Via Idrovora, 4 - 35020 Codevigo (PD)"</f>
        <v>Edilvi SAS di Viel Dario, Viel Denis E C. Via Idrovora, 4 - 35020 Codevigo (PD)</v>
      </c>
      <c r="O1493" t="str">
        <f>"Edilvi SAS di Viel Dario, Viel Denis E C. Via Idrovora, 4 - 35020 Codevigo (PD)"</f>
        <v>Edilvi SAS di Viel Dario, Viel Denis E C. Via Idrovora, 4 - 35020 Codevigo (PD)</v>
      </c>
      <c r="P1493" t="s">
        <v>220</v>
      </c>
      <c r="Q1493" t="str">
        <f>""</f>
        <v/>
      </c>
      <c r="R1493" t="str">
        <f>""</f>
        <v/>
      </c>
      <c r="S1493" t="str">
        <f>""</f>
        <v/>
      </c>
      <c r="T1493" t="s">
        <v>33</v>
      </c>
      <c r="U1493" t="str">
        <f>"https://portaletrasparenza.consorziobacchiglione.it/download/attodigara/7168/63ac45e5e562e.PDF"</f>
        <v>https://portaletrasparenza.consorziobacchiglione.it/download/attodigara/7168/63ac45e5e562e.PDF</v>
      </c>
      <c r="V14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94" spans="1:22" x14ac:dyDescent="0.3">
      <c r="A1494" t="str">
        <f>"Affidamento"</f>
        <v>Affidamento</v>
      </c>
      <c r="B1494" t="str">
        <f>"Rinnovo del servizio di antivirus e antimalware per pc in dotazione alla sede Consortile"</f>
        <v>Rinnovo del servizio di antivirus e antimalware per pc in dotazione alla sede Consortile</v>
      </c>
      <c r="C1494" t="str">
        <f>"ZDA332CB67"</f>
        <v>ZDA332CB67</v>
      </c>
      <c r="D1494" t="str">
        <f>"24/09/2021"</f>
        <v>24/09/2021</v>
      </c>
      <c r="E1494" t="str">
        <f>""</f>
        <v/>
      </c>
      <c r="F1494" t="str">
        <f>""</f>
        <v/>
      </c>
      <c r="G1494" t="str">
        <f>"8120.00"</f>
        <v>8120.00</v>
      </c>
      <c r="H1494" t="str">
        <f>"Consorzio di bonifica Bacchiglione"</f>
        <v>Consorzio di bonifica Bacchiglione</v>
      </c>
      <c r="I1494" t="str">
        <f>"92223390284"</f>
        <v>92223390284</v>
      </c>
      <c r="J1494" t="str">
        <f>"23-AFFIDAMENTO DIRETTO"</f>
        <v>23-AFFIDAMENTO DIRETTO</v>
      </c>
      <c r="K1494" t="str">
        <f>"24/09/2021"</f>
        <v>24/09/2021</v>
      </c>
      <c r="L1494" t="str">
        <f>"23/12/2021"</f>
        <v>23/12/2021</v>
      </c>
      <c r="M1494" t="str">
        <f>""</f>
        <v/>
      </c>
      <c r="N1494" t="str">
        <f>"Hard Service S.r.l. Via del Progresso, 2 35010 Peraga di Vigonza (PD)"</f>
        <v>Hard Service S.r.l. Via del Progresso, 2 35010 Peraga di Vigonza (PD)</v>
      </c>
      <c r="O1494" t="str">
        <f>"Hard Service S.r.l. Via del Progresso, 2 35010 Peraga di Vigonza (PD)"</f>
        <v>Hard Service S.r.l. Via del Progresso, 2 35010 Peraga di Vigonza (PD)</v>
      </c>
      <c r="P1494" t="str">
        <f>"ZDA332CB67: [8120.00€ ]"</f>
        <v>ZDA332CB67: [8120.00€ ]</v>
      </c>
      <c r="Q1494" t="str">
        <f>""</f>
        <v/>
      </c>
      <c r="R1494" t="str">
        <f>""</f>
        <v/>
      </c>
      <c r="S1494" t="str">
        <f>""</f>
        <v/>
      </c>
      <c r="T1494" t="str">
        <f>"https://portaletrasparenza.consorziobacchiglione.it/dettagli/attodigara/7165/rinnovo-del-servizio-di-antivirus-e-antimalware-per-pc-in-dotazione-alla-sede-consortile.html"</f>
        <v>https://portaletrasparenza.consorziobacchiglione.it/dettagli/attodigara/7165/rinnovo-del-servizio-di-antivirus-e-antimalware-per-pc-in-dotazione-alla-sede-consortile.html</v>
      </c>
      <c r="U1494" t="str">
        <f>"https://portaletrasparenza.consorziobacchiglione.it/download/attodigara/7165/63ac45cdcec50.PDF"</f>
        <v>https://portaletrasparenza.consorziobacchiglione.it/download/attodigara/7165/63ac45cdcec50.PDF</v>
      </c>
      <c r="V149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95" spans="1:22" x14ac:dyDescent="0.3">
      <c r="A1495" t="str">
        <f>"Affidamento"</f>
        <v>Affidamento</v>
      </c>
      <c r="B1495" t="str">
        <f>"Implementazione telecontrollo per Impianti Idrovora Supplemento Piovini, Idrovora Scolo Alto, Paratoie Nodo di Tassia oltre eventuale assistenza tecnica"</f>
        <v>Implementazione telecontrollo per Impianti Idrovora Supplemento Piovini, Idrovora Scolo Alto, Paratoie Nodo di Tassia oltre eventuale assistenza tecnica</v>
      </c>
      <c r="C1495" t="str">
        <f>"ZA3332DDEA"</f>
        <v>ZA3332DDEA</v>
      </c>
      <c r="D1495" t="str">
        <f>"24/09/2021"</f>
        <v>24/09/2021</v>
      </c>
      <c r="E1495" t="str">
        <f>""</f>
        <v/>
      </c>
      <c r="F1495" t="str">
        <f>""</f>
        <v/>
      </c>
      <c r="G1495" t="str">
        <f>"8379.00"</f>
        <v>8379.00</v>
      </c>
      <c r="H1495" t="str">
        <f>"Consorzio di bonifica Bacchiglione"</f>
        <v>Consorzio di bonifica Bacchiglione</v>
      </c>
      <c r="I1495" t="str">
        <f>"92223390284"</f>
        <v>92223390284</v>
      </c>
      <c r="J1495" t="str">
        <f>"23-AFFIDAMENTO DIRETTO"</f>
        <v>23-AFFIDAMENTO DIRETTO</v>
      </c>
      <c r="K1495" t="str">
        <f>"24/09/2021"</f>
        <v>24/09/2021</v>
      </c>
      <c r="L1495" t="str">
        <f>"26/09/2023"</f>
        <v>26/09/2023</v>
      </c>
      <c r="M1495" t="str">
        <f>""</f>
        <v/>
      </c>
      <c r="N1495" t="str">
        <f>"Omnicon Srl Via Petrarca 14a 20843 Verano Brianza MB"</f>
        <v>Omnicon Srl Via Petrarca 14a 20843 Verano Brianza MB</v>
      </c>
      <c r="O1495" t="str">
        <f>"Omnicon Srl Via Petrarca 14a 20843 Verano Brianza MB"</f>
        <v>Omnicon Srl Via Petrarca 14a 20843 Verano Brianza MB</v>
      </c>
      <c r="P1495" t="str">
        <f>"ZA3332DDEA: [7660.38€ ]"</f>
        <v>ZA3332DDEA: [7660.38€ ]</v>
      </c>
      <c r="Q1495" t="str">
        <f>""</f>
        <v/>
      </c>
      <c r="R1495" t="str">
        <f>""</f>
        <v/>
      </c>
      <c r="S1495" t="str">
        <f>""</f>
        <v/>
      </c>
      <c r="T1495" t="str">
        <f>"https://portaletrasparenza.consorziobacchiglione.it/dettagli/attodigara/7166/implementazione-telecontrollo-per-impianti-idrovora-supplemento-piovini-idrovora-scolo-alto-paratoie-nodo-di-tassia-oltre-eventuale-assistenza-tecnica.html"</f>
        <v>https://portaletrasparenza.consorziobacchiglione.it/dettagli/attodigara/7166/implementazione-telecontrollo-per-impianti-idrovora-supplemento-piovini-idrovora-scolo-alto-paratoie-nodo-di-tassia-oltre-eventuale-assistenza-tecnica.html</v>
      </c>
      <c r="U1495" t="str">
        <f>"https://portaletrasparenza.consorziobacchiglione.it/download/attodigara/7166/63ac45ce1361b.PDF"</f>
        <v>https://portaletrasparenza.consorziobacchiglione.it/download/attodigara/7166/63ac45ce1361b.PDF</v>
      </c>
      <c r="V1495">
        <f>(SUBSTITUTE(Tabella1[[#This Row],[Importo di aggiudicazione]],".",","))-(SUBSTITUTE(  SUBSTITUTE(          SUBSTITUTE(Tabella1[[#This Row],[Dettaglio somme liquidate]],Tabella1[[#This Row],[CIG]]&amp;": [",""),"€ ]",""),".",","))</f>
        <v>718.61999999999989</v>
      </c>
    </row>
    <row r="1496" spans="1:22" x14ac:dyDescent="0.3">
      <c r="A1496" t="str">
        <f>"Affidamento"</f>
        <v>Affidamento</v>
      </c>
      <c r="B1496" t="str">
        <f>"Implementazione telecontrollo per Sostegno delle Basse, Sostegno Piccolo, Sostegno Ricicleria - Governo, Sostegno scarico in Brentella e nuovo Sostegno su Bypass Ponte San Nicolò oltre eventuale assistenza tecnica"</f>
        <v>Implementazione telecontrollo per Sostegno delle Basse, Sostegno Piccolo, Sostegno Ricicleria - Governo, Sostegno scarico in Brentella e nuovo Sostegno su Bypass Ponte San Nicolò oltre eventuale assistenza tecnica</v>
      </c>
      <c r="C1496" t="str">
        <f>"ZCB332E1D5"</f>
        <v>ZCB332E1D5</v>
      </c>
      <c r="D1496" t="str">
        <f>"27/09/2021"</f>
        <v>27/09/2021</v>
      </c>
      <c r="E1496" t="str">
        <f>""</f>
        <v/>
      </c>
      <c r="F1496" t="str">
        <f>""</f>
        <v/>
      </c>
      <c r="G1496" t="str">
        <f>"9365.00"</f>
        <v>9365.00</v>
      </c>
      <c r="H1496" t="str">
        <f>"Consorzio di bonifica Bacchiglione"</f>
        <v>Consorzio di bonifica Bacchiglione</v>
      </c>
      <c r="I1496" t="str">
        <f>"92223390284"</f>
        <v>92223390284</v>
      </c>
      <c r="J1496" t="str">
        <f>"23-AFFIDAMENTO DIRETTO"</f>
        <v>23-AFFIDAMENTO DIRETTO</v>
      </c>
      <c r="K1496" t="str">
        <f>"24/09/2021"</f>
        <v>24/09/2021</v>
      </c>
      <c r="L1496" t="str">
        <f>"28/09/2022"</f>
        <v>28/09/2022</v>
      </c>
      <c r="M1496" t="str">
        <f>""</f>
        <v/>
      </c>
      <c r="N1496" t="str">
        <f>"Omnicon Srl Via Petrarca 14a 20843 Verano Brianza MB"</f>
        <v>Omnicon Srl Via Petrarca 14a 20843 Verano Brianza MB</v>
      </c>
      <c r="O1496" t="str">
        <f>"Omnicon Srl Via Petrarca 14a 20843 Verano Brianza MB"</f>
        <v>Omnicon Srl Via Petrarca 14a 20843 Verano Brianza MB</v>
      </c>
      <c r="P1496" t="s">
        <v>284</v>
      </c>
      <c r="Q1496" t="str">
        <f>""</f>
        <v/>
      </c>
      <c r="R1496" t="str">
        <f>""</f>
        <v/>
      </c>
      <c r="S1496" t="str">
        <f>""</f>
        <v/>
      </c>
      <c r="T1496" t="s">
        <v>82</v>
      </c>
      <c r="U1496" t="str">
        <f>"https://portaletrasparenza.consorziobacchiglione.it/download/attodigara/7167/63ac45ceb9143.PDF"</f>
        <v>https://portaletrasparenza.consorziobacchiglione.it/download/attodigara/7167/63ac45ceb9143.PDF</v>
      </c>
      <c r="V149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97" spans="1:22" x14ac:dyDescent="0.3">
      <c r="A1497" t="str">
        <f>"Affidamento"</f>
        <v>Affidamento</v>
      </c>
      <c r="B1497" t="str">
        <f>"Fornitura materiale di ferramenta e materiale edile per vari Impianti."</f>
        <v>Fornitura materiale di ferramenta e materiale edile per vari Impianti.</v>
      </c>
      <c r="C1497" t="str">
        <f>"Z751BB67F8"</f>
        <v>Z751BB67F8</v>
      </c>
      <c r="D1497" t="str">
        <f>"04/11/2021"</f>
        <v>04/11/2021</v>
      </c>
      <c r="E1497" t="str">
        <f>""</f>
        <v/>
      </c>
      <c r="F1497" t="str">
        <f>""</f>
        <v/>
      </c>
      <c r="G1497" t="str">
        <f>"555.39"</f>
        <v>555.39</v>
      </c>
      <c r="H1497" t="str">
        <f>"Consorzio di bonifica Bacchiglione"</f>
        <v>Consorzio di bonifica Bacchiglione</v>
      </c>
      <c r="I1497" t="str">
        <f>"92223390284"</f>
        <v>92223390284</v>
      </c>
      <c r="J1497" t="str">
        <f>"23-AFFIDAMENTO DIRETTO"</f>
        <v>23-AFFIDAMENTO DIRETTO</v>
      </c>
      <c r="K1497" t="str">
        <f>"24/10/2021"</f>
        <v>24/10/2021</v>
      </c>
      <c r="L1497" t="str">
        <f>"04/01/2021"</f>
        <v>04/01/2021</v>
      </c>
      <c r="M1497" t="str">
        <f>""</f>
        <v/>
      </c>
      <c r="N1497" t="str">
        <f>"Gollo Giovanni Via Vallona 65 35020 Conche di Codevigo PD"</f>
        <v>Gollo Giovanni Via Vallona 65 35020 Conche di Codevigo PD</v>
      </c>
      <c r="O1497" t="str">
        <f>"Gollo Giovanni Via Vallona 65 35020 Conche di Codevigo PD"</f>
        <v>Gollo Giovanni Via Vallona 65 35020 Conche di Codevigo PD</v>
      </c>
      <c r="P1497" t="s">
        <v>314</v>
      </c>
      <c r="Q1497" t="str">
        <f>""</f>
        <v/>
      </c>
      <c r="R1497" t="str">
        <f>""</f>
        <v/>
      </c>
      <c r="S1497" t="str">
        <f>""</f>
        <v/>
      </c>
      <c r="T1497" t="str">
        <f>"https://portaletrasparenza.consorziobacchiglione.it/dettagli/attodigara/848/fornitura-materiale-di-ferramenta-e-materiale-edile-per-vari-impianti.html"</f>
        <v>https://portaletrasparenza.consorziobacchiglione.it/dettagli/attodigara/848/fornitura-materiale-di-ferramenta-e-materiale-edile-per-vari-impianti.html</v>
      </c>
      <c r="U1497" t="str">
        <f>""</f>
        <v/>
      </c>
      <c r="V14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98" spans="1:22" x14ac:dyDescent="0.3">
      <c r="A1498" t="str">
        <f>"Affidamento"</f>
        <v>Affidamento</v>
      </c>
      <c r="B1498" t="str">
        <f>"Revisione elettropompa n 8 Pot. 103 KW Idrovora Cambroso."</f>
        <v>Revisione elettropompa n 8 Pot. 103 KW Idrovora Cambroso.</v>
      </c>
      <c r="C1498" t="str">
        <f>"Z541BB6AD7"</f>
        <v>Z541BB6AD7</v>
      </c>
      <c r="D1498" t="str">
        <f>"04/11/2021"</f>
        <v>04/11/2021</v>
      </c>
      <c r="E1498" t="str">
        <f>""</f>
        <v/>
      </c>
      <c r="F1498" t="str">
        <f>""</f>
        <v/>
      </c>
      <c r="G1498" t="str">
        <f>"3768.00"</f>
        <v>3768.00</v>
      </c>
      <c r="H1498" t="str">
        <f>"Consorzio di bonifica Bacchiglione"</f>
        <v>Consorzio di bonifica Bacchiglione</v>
      </c>
      <c r="I1498" t="str">
        <f>"92223390284"</f>
        <v>92223390284</v>
      </c>
      <c r="J1498" t="str">
        <f>"23-AFFIDAMENTO DIRETTO"</f>
        <v>23-AFFIDAMENTO DIRETTO</v>
      </c>
      <c r="K1498" t="str">
        <f>"24/10/2021"</f>
        <v>24/10/2021</v>
      </c>
      <c r="L1498" t="str">
        <f>"20/12/2021"</f>
        <v>20/12/2021</v>
      </c>
      <c r="M1498" t="str">
        <f>""</f>
        <v/>
      </c>
      <c r="N1498" t="str">
        <f>"Xylem Water Solutions Italia S.r.l. Via Gioacchino Rossini 1A 20020 Lainate MI"</f>
        <v>Xylem Water Solutions Italia S.r.l. Via Gioacchino Rossini 1A 20020 Lainate MI</v>
      </c>
      <c r="O1498" t="str">
        <f>"Xylem Water Solutions Italia S.r.l. Via Gioacchino Rossini 1A 20020 Lainate MI"</f>
        <v>Xylem Water Solutions Italia S.r.l. Via Gioacchino Rossini 1A 20020 Lainate MI</v>
      </c>
      <c r="P1498" t="str">
        <f>"Z541BB6AD7: [3768.00€ ]"</f>
        <v>Z541BB6AD7: [3768.00€ ]</v>
      </c>
      <c r="Q1498" t="str">
        <f>""</f>
        <v/>
      </c>
      <c r="R1498" t="str">
        <f>""</f>
        <v/>
      </c>
      <c r="S1498" t="str">
        <f>""</f>
        <v/>
      </c>
      <c r="T1498" t="str">
        <f>"https://portaletrasparenza.consorziobacchiglione.it/dettagli/attodigara/849/revisione-elettropompa-n-8-pot-103-kw-idrovora-cambroso.html"</f>
        <v>https://portaletrasparenza.consorziobacchiglione.it/dettagli/attodigara/849/revisione-elettropompa-n-8-pot-103-kw-idrovora-cambroso.html</v>
      </c>
      <c r="U1498" t="str">
        <f>""</f>
        <v/>
      </c>
      <c r="V14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499" spans="1:22" x14ac:dyDescent="0.3">
      <c r="A1499" t="str">
        <f>"Affidamento"</f>
        <v>Affidamento</v>
      </c>
      <c r="B1499" t="str">
        <f>"Fornitura materiale elettrico per Bacino Sesta Presa."</f>
        <v>Fornitura materiale elettrico per Bacino Sesta Presa.</v>
      </c>
      <c r="C1499" t="str">
        <f>"Z5A1BB649D"</f>
        <v>Z5A1BB649D</v>
      </c>
      <c r="D1499" t="str">
        <f>"04/11/2021"</f>
        <v>04/11/2021</v>
      </c>
      <c r="E1499" t="str">
        <f>""</f>
        <v/>
      </c>
      <c r="F1499" t="str">
        <f>""</f>
        <v/>
      </c>
      <c r="G1499" t="str">
        <f>"1032.93"</f>
        <v>1032.93</v>
      </c>
      <c r="H1499" t="str">
        <f>"Consorzio di bonifica Bacchiglione"</f>
        <v>Consorzio di bonifica Bacchiglione</v>
      </c>
      <c r="I1499" t="str">
        <f>"92223390284"</f>
        <v>92223390284</v>
      </c>
      <c r="J1499" t="str">
        <f>"23-AFFIDAMENTO DIRETTO"</f>
        <v>23-AFFIDAMENTO DIRETTO</v>
      </c>
      <c r="K1499" t="str">
        <f>"24/10/2021"</f>
        <v>24/10/2021</v>
      </c>
      <c r="L1499" t="str">
        <f>"31/12/2021"</f>
        <v>31/12/2021</v>
      </c>
      <c r="M1499" t="str">
        <f>""</f>
        <v/>
      </c>
      <c r="N1499" t="str">
        <f>"Elettroveneta S.p.A. Viale della Navigazione Interna, 48 - 35129 Padova (PD)"</f>
        <v>Elettroveneta S.p.A. Viale della Navigazione Interna, 48 - 35129 Padova (PD)</v>
      </c>
      <c r="O1499" t="str">
        <f>"Elettroveneta S.p.A. Viale della Navigazione Interna, 48 - 35129 Padova (PD)"</f>
        <v>Elettroveneta S.p.A. Viale della Navigazione Interna, 48 - 35129 Padova (PD)</v>
      </c>
      <c r="P1499" t="str">
        <f>"Z5A1BB649D: [1032.93€ ]"</f>
        <v>Z5A1BB649D: [1032.93€ ]</v>
      </c>
      <c r="Q1499" t="str">
        <f>""</f>
        <v/>
      </c>
      <c r="R1499" t="str">
        <f>""</f>
        <v/>
      </c>
      <c r="S1499" t="str">
        <f>""</f>
        <v/>
      </c>
      <c r="T1499" t="str">
        <f>"https://portaletrasparenza.consorziobacchiglione.it/dettagli/attodigara/847/fornitura-materiale-elettrico-per-bacino-sesta-presa.html"</f>
        <v>https://portaletrasparenza.consorziobacchiglione.it/dettagli/attodigara/847/fornitura-materiale-elettrico-per-bacino-sesta-presa.html</v>
      </c>
      <c r="U1499" t="str">
        <f>""</f>
        <v/>
      </c>
      <c r="V14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00" spans="1:22" x14ac:dyDescent="0.3">
      <c r="A1500" t="str">
        <f>"Affidamento"</f>
        <v>Affidamento</v>
      </c>
      <c r="B1500" t="str">
        <f>"Ricorso avanti il Tribunale Regonale delle Acque Pubbliche proposto dal sig. Fadel Francesco - affidamento incarico di difesa legale all'Avv. Luigino Maria Martellato del Foro di Venezia."</f>
        <v>Ricorso avanti il Tribunale Regonale delle Acque Pubbliche proposto dal sig. Fadel Francesco - affidamento incarico di difesa legale all'Avv. Luigino Maria Martellato del Foro di Venezia.</v>
      </c>
      <c r="C1500" t="str">
        <f>"Z0A1BEC660"</f>
        <v>Z0A1BEC660</v>
      </c>
      <c r="D1500" t="str">
        <f>"04/11/2021"</f>
        <v>04/11/2021</v>
      </c>
      <c r="E1500" t="str">
        <f>""</f>
        <v/>
      </c>
      <c r="F1500" t="str">
        <f>""</f>
        <v/>
      </c>
      <c r="G1500" t="str">
        <f>"8342.10"</f>
        <v>8342.10</v>
      </c>
      <c r="H1500" t="str">
        <f>"Consorzio di bonifica Bacchiglione"</f>
        <v>Consorzio di bonifica Bacchiglione</v>
      </c>
      <c r="I1500" t="str">
        <f>"92223390284"</f>
        <v>92223390284</v>
      </c>
      <c r="J1500" t="str">
        <f>"23-AFFIDAMENTO DIRETTO"</f>
        <v>23-AFFIDAMENTO DIRETTO</v>
      </c>
      <c r="K1500" t="str">
        <f>"24/10/2021"</f>
        <v>24/10/2021</v>
      </c>
      <c r="L1500" t="str">
        <f>"14/06/2021"</f>
        <v>14/06/2021</v>
      </c>
      <c r="M1500" t="str">
        <f>""</f>
        <v/>
      </c>
      <c r="N1500" t="str">
        <f>"MARTELLATO AVV. LUIGINO MARIA"</f>
        <v>MARTELLATO AVV. LUIGINO MARIA</v>
      </c>
      <c r="O1500" t="str">
        <f>"MARTELLATO AVV. LUIGINO MARIA"</f>
        <v>MARTELLATO AVV. LUIGINO MARIA</v>
      </c>
      <c r="P1500" t="str">
        <f>"Z0A1BEC660: [7445.99€ ]"</f>
        <v>Z0A1BEC660: [7445.99€ ]</v>
      </c>
      <c r="Q1500" t="str">
        <f>""</f>
        <v/>
      </c>
      <c r="R1500" t="str">
        <f>""</f>
        <v/>
      </c>
      <c r="S1500" t="str">
        <f>""</f>
        <v/>
      </c>
      <c r="T1500" t="s">
        <v>62</v>
      </c>
      <c r="U1500" t="str">
        <f>""</f>
        <v/>
      </c>
      <c r="V1500">
        <f>(SUBSTITUTE(Tabella1[[#This Row],[Importo di aggiudicazione]],".",","))-(SUBSTITUTE(  SUBSTITUTE(          SUBSTITUTE(Tabella1[[#This Row],[Dettaglio somme liquidate]],Tabella1[[#This Row],[CIG]]&amp;": [",""),"€ ]",""),".",","))</f>
        <v>896.11000000000058</v>
      </c>
    </row>
    <row r="1501" spans="1:22" x14ac:dyDescent="0.3">
      <c r="A1501" t="str">
        <f>"Affidamento"</f>
        <v>Affidamento</v>
      </c>
      <c r="B1501" t="str">
        <f>"Fornitura antigelo impianti frenanti e n 10 scatole di dischi per tachigrafo su mezzo con targa: AJ206BM."</f>
        <v>Fornitura antigelo impianti frenanti e n 10 scatole di dischi per tachigrafo su mezzo con targa: AJ206BM.</v>
      </c>
      <c r="C1501" t="str">
        <f>"Z3B1C3091E"</f>
        <v>Z3B1C3091E</v>
      </c>
      <c r="D1501" t="str">
        <f>"04/11/2021"</f>
        <v>04/11/2021</v>
      </c>
      <c r="E1501" t="str">
        <f>""</f>
        <v/>
      </c>
      <c r="F1501" t="str">
        <f>""</f>
        <v/>
      </c>
      <c r="G1501" t="str">
        <f>"81.70"</f>
        <v>81.70</v>
      </c>
      <c r="H1501" t="str">
        <f>"Consorzio di bonifica Bacchiglione"</f>
        <v>Consorzio di bonifica Bacchiglione</v>
      </c>
      <c r="I1501" t="str">
        <f>"92223390284"</f>
        <v>92223390284</v>
      </c>
      <c r="J1501" t="str">
        <f>"23-AFFIDAMENTO DIRETTO"</f>
        <v>23-AFFIDAMENTO DIRETTO</v>
      </c>
      <c r="K1501" t="str">
        <f>"24/11/2021"</f>
        <v>24/11/2021</v>
      </c>
      <c r="L1501" t="str">
        <f>"04/01/2021"</f>
        <v>04/01/2021</v>
      </c>
      <c r="M1501" t="str">
        <f>""</f>
        <v/>
      </c>
      <c r="N1501" t="str">
        <f>"Autoricambi s.n.c. di Mardegan Paolo e Manfron Veronica Via A.Valerio 26-28 Piove di Sacco PD"</f>
        <v>Autoricambi s.n.c. di Mardegan Paolo e Manfron Veronica Via A.Valerio 26-28 Piove di Sacco PD</v>
      </c>
      <c r="O1501" t="str">
        <f>"Autoricambi s.n.c. di Mardegan Paolo e Manfron Veronica Via A.Valerio 26-28 Piove di Sacco PD"</f>
        <v>Autoricambi s.n.c. di Mardegan Paolo e Manfron Veronica Via A.Valerio 26-28 Piove di Sacco PD</v>
      </c>
      <c r="P1501" t="str">
        <f>"Z3B1C3091E: [81.70€ ]"</f>
        <v>Z3B1C3091E: [81.70€ ]</v>
      </c>
      <c r="Q1501" t="str">
        <f>""</f>
        <v/>
      </c>
      <c r="R1501" t="str">
        <f>""</f>
        <v/>
      </c>
      <c r="S1501" t="str">
        <f>""</f>
        <v/>
      </c>
      <c r="T1501" t="str">
        <f>"https://portaletrasparenza.consorziobacchiglione.it/dettagli/attodigara/950/fornitura-antigelo-impianti-frenanti-e-n-10-scatole-di-dischi-per-tachigrafo-su-mezzo-con-targa-aj206bm.html"</f>
        <v>https://portaletrasparenza.consorziobacchiglione.it/dettagli/attodigara/950/fornitura-antigelo-impianti-frenanti-e-n-10-scatole-di-dischi-per-tachigrafo-su-mezzo-con-targa-aj206bm.html</v>
      </c>
      <c r="U1501" t="str">
        <f>""</f>
        <v/>
      </c>
      <c r="V150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02" spans="1:22" x14ac:dyDescent="0.3">
      <c r="A1502" t="str">
        <f>"Affidamento"</f>
        <v>Affidamento</v>
      </c>
      <c r="B1502" t="str">
        <f>"Fornitura vestiario da lavoro vario per personale di campagna."</f>
        <v>Fornitura vestiario da lavoro vario per personale di campagna.</v>
      </c>
      <c r="C1502" t="str">
        <f>"Z281C303FF"</f>
        <v>Z281C303FF</v>
      </c>
      <c r="D1502" t="str">
        <f>"04/11/2021"</f>
        <v>04/11/2021</v>
      </c>
      <c r="E1502" t="str">
        <f>""</f>
        <v/>
      </c>
      <c r="F1502" t="str">
        <f>""</f>
        <v/>
      </c>
      <c r="G1502" t="str">
        <f>"6872.86"</f>
        <v>6872.86</v>
      </c>
      <c r="H1502" t="str">
        <f>"Consorzio di bonifica Bacchiglione"</f>
        <v>Consorzio di bonifica Bacchiglione</v>
      </c>
      <c r="I1502" t="str">
        <f>"92223390284"</f>
        <v>92223390284</v>
      </c>
      <c r="J1502" t="str">
        <f>"23-AFFIDAMENTO DIRETTO"</f>
        <v>23-AFFIDAMENTO DIRETTO</v>
      </c>
      <c r="K1502" t="str">
        <f>"24/11/2021"</f>
        <v>24/11/2021</v>
      </c>
      <c r="L1502" t="str">
        <f>"24/03/2021"</f>
        <v>24/03/2021</v>
      </c>
      <c r="M1502" t="str">
        <f>""</f>
        <v/>
      </c>
      <c r="N1502" t="str">
        <f>"SIR Safety System S.p.A. Zona Industriale S. Maria degli Angeli 06088 Assisi PG"</f>
        <v>SIR Safety System S.p.A. Zona Industriale S. Maria degli Angeli 06088 Assisi PG</v>
      </c>
      <c r="O1502" t="str">
        <f>"SIR Safety System S.p.A. Zona Industriale S. Maria degli Angeli 06088 Assisi PG"</f>
        <v>SIR Safety System S.p.A. Zona Industriale S. Maria degli Angeli 06088 Assisi PG</v>
      </c>
      <c r="P1502" t="str">
        <f>"Z281C303FF: [6872.86€ ]"</f>
        <v>Z281C303FF: [6872.86€ ]</v>
      </c>
      <c r="Q1502" t="str">
        <f>""</f>
        <v/>
      </c>
      <c r="R1502" t="str">
        <f>""</f>
        <v/>
      </c>
      <c r="S1502" t="str">
        <f>""</f>
        <v/>
      </c>
      <c r="T1502" t="str">
        <f>"https://portaletrasparenza.consorziobacchiglione.it/dettagli/attodigara/948/fornitura-vestiario-da-lavoro-vario-per-personale-di-campagna.html"</f>
        <v>https://portaletrasparenza.consorziobacchiglione.it/dettagli/attodigara/948/fornitura-vestiario-da-lavoro-vario-per-personale-di-campagna.html</v>
      </c>
      <c r="U1502" t="str">
        <f>""</f>
        <v/>
      </c>
      <c r="V15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03" spans="1:22" x14ac:dyDescent="0.3">
      <c r="A1503" t="str">
        <f>"Affidamento"</f>
        <v>Affidamento</v>
      </c>
      <c r="B1503" t="str">
        <f>"Manutenzione e riparazione mezzi con targa: AFW043, EW930NS."</f>
        <v>Manutenzione e riparazione mezzi con targa: AFW043, EW930NS.</v>
      </c>
      <c r="C1503" t="str">
        <f>"Z151C306B8"</f>
        <v>Z151C306B8</v>
      </c>
      <c r="D1503" t="str">
        <f>"04/11/2021"</f>
        <v>04/11/2021</v>
      </c>
      <c r="E1503" t="str">
        <f>""</f>
        <v/>
      </c>
      <c r="F1503" t="str">
        <f>""</f>
        <v/>
      </c>
      <c r="G1503" t="str">
        <f>"1154.07"</f>
        <v>1154.07</v>
      </c>
      <c r="H1503" t="str">
        <f>"Consorzio di bonifica Bacchiglione"</f>
        <v>Consorzio di bonifica Bacchiglione</v>
      </c>
      <c r="I1503" t="str">
        <f>"92223390284"</f>
        <v>92223390284</v>
      </c>
      <c r="J1503" t="str">
        <f>"23-AFFIDAMENTO DIRETTO"</f>
        <v>23-AFFIDAMENTO DIRETTO</v>
      </c>
      <c r="K1503" t="str">
        <f>"24/11/2021"</f>
        <v>24/11/2021</v>
      </c>
      <c r="L1503" t="str">
        <f>"24/02/2021"</f>
        <v>24/02/2021</v>
      </c>
      <c r="M1503" t="str">
        <f>""</f>
        <v/>
      </c>
      <c r="N1503" t="str">
        <f>"Autoriparazioni Ravazzolo s.r.l. Via Roma 259a 35030 Montemerlo di Cervarese Santa Croce PD"</f>
        <v>Autoriparazioni Ravazzolo s.r.l. Via Roma 259a 35030 Montemerlo di Cervarese Santa Croce PD</v>
      </c>
      <c r="O1503" t="str">
        <f>"Autoriparazioni Ravazzolo s.r.l. Via Roma 259a 35030 Montemerlo di Cervarese Santa Croce PD"</f>
        <v>Autoriparazioni Ravazzolo s.r.l. Via Roma 259a 35030 Montemerlo di Cervarese Santa Croce PD</v>
      </c>
      <c r="P1503" t="str">
        <f>"Z151C306B8: [972.94€ ]"</f>
        <v>Z151C306B8: [972.94€ ]</v>
      </c>
      <c r="Q1503" t="str">
        <f>""</f>
        <v/>
      </c>
      <c r="R1503" t="str">
        <f>""</f>
        <v/>
      </c>
      <c r="S1503" t="str">
        <f>""</f>
        <v/>
      </c>
      <c r="T1503" t="str">
        <f>"https://portaletrasparenza.consorziobacchiglione.it/dettagli/attodigara/949/manutenzione-e-riparazione-mezzi-con-targa-afw043-ew930ns.html"</f>
        <v>https://portaletrasparenza.consorziobacchiglione.it/dettagli/attodigara/949/manutenzione-e-riparazione-mezzi-con-targa-afw043-ew930ns.html</v>
      </c>
      <c r="U1503" t="str">
        <f>""</f>
        <v/>
      </c>
      <c r="V1503">
        <f>(SUBSTITUTE(Tabella1[[#This Row],[Importo di aggiudicazione]],".",","))-(SUBSTITUTE(  SUBSTITUTE(          SUBSTITUTE(Tabella1[[#This Row],[Dettaglio somme liquidate]],Tabella1[[#This Row],[CIG]]&amp;": [",""),"€ ]",""),".",","))</f>
        <v>181.12999999999988</v>
      </c>
    </row>
    <row r="1504" spans="1:22" x14ac:dyDescent="0.3">
      <c r="A1504" t="str">
        <f>"Affidamento"</f>
        <v>Affidamento</v>
      </c>
      <c r="B1504" t="str">
        <f>"Fornitura 2500 pali in Castagno con punta lunghi MT 2,5 per Bacino Sesta Presa da consegnarsi presso il C.O. di S.Margherita in comune di Codevigo."</f>
        <v>Fornitura 2500 pali in Castagno con punta lunghi MT 2,5 per Bacino Sesta Presa da consegnarsi presso il C.O. di S.Margherita in comune di Codevigo.</v>
      </c>
      <c r="C1504" t="str">
        <f>"ZB6340FE1A"</f>
        <v>ZB6340FE1A</v>
      </c>
      <c r="D1504" t="str">
        <f>"24/11/2021"</f>
        <v>24/11/2021</v>
      </c>
      <c r="E1504" t="str">
        <f>""</f>
        <v/>
      </c>
      <c r="F1504" t="str">
        <f>""</f>
        <v/>
      </c>
      <c r="G1504" t="str">
        <f>"23750.00"</f>
        <v>23750.00</v>
      </c>
      <c r="H1504" t="str">
        <f>"Consorzio di bonifica Bacchiglione"</f>
        <v>Consorzio di bonifica Bacchiglione</v>
      </c>
      <c r="I1504" t="str">
        <f>"92223390284"</f>
        <v>92223390284</v>
      </c>
      <c r="J1504" t="str">
        <f>"23-AFFIDAMENTO DIRETTO"</f>
        <v>23-AFFIDAMENTO DIRETTO</v>
      </c>
      <c r="K1504" t="str">
        <f>"24/11/2021"</f>
        <v>24/11/2021</v>
      </c>
      <c r="L1504" t="str">
        <f>"10/01/2022"</f>
        <v>10/01/2022</v>
      </c>
      <c r="M1504" t="str">
        <f>""</f>
        <v/>
      </c>
      <c r="N1504" t="str">
        <f>"Rinaldi Combustibili s.n.c. Via Repoise 2 35030 Cervarese Santa Croce PD"</f>
        <v>Rinaldi Combustibili s.n.c. Via Repoise 2 35030 Cervarese Santa Croce PD</v>
      </c>
      <c r="O1504" t="str">
        <f>"Rinaldi Combustibili s.n.c. Via Repoise 2 35030 Cervarese Santa Croce PD"</f>
        <v>Rinaldi Combustibili s.n.c. Via Repoise 2 35030 Cervarese Santa Croce PD</v>
      </c>
      <c r="P1504" t="s">
        <v>172</v>
      </c>
      <c r="Q1504" t="str">
        <f>""</f>
        <v/>
      </c>
      <c r="R1504" t="str">
        <f>""</f>
        <v/>
      </c>
      <c r="S1504" t="str">
        <f>""</f>
        <v/>
      </c>
      <c r="T1504" t="str">
        <f>"https://portaletrasparenza.consorziobacchiglione.it/dettagli/attodigara/7308/fornitura-2500-pali-in-castagno-con-punta-lunghi-mt-2-5-per-bacino-sesta-presa-da-consegnarsi-presso-il-c-o-di-s-margherita-in-comune-di-codevigo.html"</f>
        <v>https://portaletrasparenza.consorziobacchiglione.it/dettagli/attodigara/7308/fornitura-2500-pali-in-castagno-con-punta-lunghi-mt-2-5-per-bacino-sesta-presa-da-consegnarsi-presso-il-c-o-di-s-margherita-in-comune-di-codevigo.html</v>
      </c>
      <c r="U1504" t="str">
        <f>"https://portaletrasparenza.consorziobacchiglione.it/download/attodigara/7308/63ac45ef13b93.PDF"</f>
        <v>https://portaletrasparenza.consorziobacchiglione.it/download/attodigara/7308/63ac45ef13b93.PDF</v>
      </c>
      <c r="V15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05" spans="1:22" x14ac:dyDescent="0.3">
      <c r="A1505" t="str">
        <f>"Affidamento"</f>
        <v>Affidamento</v>
      </c>
      <c r="B1505" t="str">
        <f>"Fornitura n.3 kit corde di acciao per ricambi spazzola Iron Brush su Energreen da consegnare presso il Centro Operativo di Santa Margherita"</f>
        <v>Fornitura n.3 kit corde di acciao per ricambi spazzola Iron Brush su Energreen da consegnare presso il Centro Operativo di Santa Margherita</v>
      </c>
      <c r="C1505" t="str">
        <f>"Z22340F691"</f>
        <v>Z22340F691</v>
      </c>
      <c r="D1505" t="str">
        <f>"24/11/2021"</f>
        <v>24/11/2021</v>
      </c>
      <c r="E1505" t="str">
        <f>""</f>
        <v/>
      </c>
      <c r="F1505" t="str">
        <f>""</f>
        <v/>
      </c>
      <c r="G1505" t="str">
        <f>"6745.08"</f>
        <v>6745.08</v>
      </c>
      <c r="H1505" t="str">
        <f>"Consorzio di bonifica Bacchiglione"</f>
        <v>Consorzio di bonifica Bacchiglione</v>
      </c>
      <c r="I1505" t="str">
        <f>"92223390284"</f>
        <v>92223390284</v>
      </c>
      <c r="J1505" t="str">
        <f>"23-AFFIDAMENTO DIRETTO"</f>
        <v>23-AFFIDAMENTO DIRETTO</v>
      </c>
      <c r="K1505" t="str">
        <f>"24/11/2021"</f>
        <v>24/11/2021</v>
      </c>
      <c r="L1505" t="str">
        <f>"31/12/2021"</f>
        <v>31/12/2021</v>
      </c>
      <c r="M1505" t="str">
        <f>""</f>
        <v/>
      </c>
      <c r="N1505" t="str">
        <f>"Energreen Via Pietre 73 36026 Cagnano di Pojana Maggiore VI"</f>
        <v>Energreen Via Pietre 73 36026 Cagnano di Pojana Maggiore VI</v>
      </c>
      <c r="O1505" t="str">
        <f>"Energreen Via Pietre 73 36026 Cagnano di Pojana Maggiore VI"</f>
        <v>Energreen Via Pietre 73 36026 Cagnano di Pojana Maggiore VI</v>
      </c>
      <c r="P1505" t="str">
        <f>"Z22340F691: [3352.54€ ]"</f>
        <v>Z22340F691: [3352.54€ ]</v>
      </c>
      <c r="Q1505" t="str">
        <f>""</f>
        <v/>
      </c>
      <c r="R1505" t="str">
        <f>""</f>
        <v/>
      </c>
      <c r="S1505" t="str">
        <f>""</f>
        <v/>
      </c>
      <c r="T1505" t="str">
        <f>"https://portaletrasparenza.consorziobacchiglione.it/dettagli/attodigara/7307/fornitura-n-3-kit-corde-di-acciao-per-ricambi-spazzola-iron-brush-su-energreen-da-consegnare-presso-il-centro-operativo-di-santa-margherita.html"</f>
        <v>https://portaletrasparenza.consorziobacchiglione.it/dettagli/attodigara/7307/fornitura-n-3-kit-corde-di-acciao-per-ricambi-spazzola-iron-brush-su-energreen-da-consegnare-presso-il-centro-operativo-di-santa-margherita.html</v>
      </c>
      <c r="U1505" t="str">
        <f>"https://portaletrasparenza.consorziobacchiglione.it/download/attodigara/7307/63ac45eecedce.PDF"</f>
        <v>https://portaletrasparenza.consorziobacchiglione.it/download/attodigara/7307/63ac45eecedce.PDF</v>
      </c>
      <c r="V1505">
        <f>(SUBSTITUTE(Tabella1[[#This Row],[Importo di aggiudicazione]],".",","))-(SUBSTITUTE(  SUBSTITUTE(          SUBSTITUTE(Tabella1[[#This Row],[Dettaglio somme liquidate]],Tabella1[[#This Row],[CIG]]&amp;": [",""),"€ ]",""),".",","))</f>
        <v>3392.54</v>
      </c>
    </row>
    <row r="1506" spans="1:22" x14ac:dyDescent="0.3">
      <c r="A1506" t="str">
        <f>"Affidamento"</f>
        <v>Affidamento</v>
      </c>
      <c r="B1506" t="str">
        <f>"INTEGRAZIONE DETERMINA DIRIGENZIALE N. 11/2020 DEL 22/01/2020. MATERIALE DI CANCELLERIA"</f>
        <v>INTEGRAZIONE DETERMINA DIRIGENZIALE N. 11/2020 DEL 22/01/2020. MATERIALE DI CANCELLERIA</v>
      </c>
      <c r="C1506" t="str">
        <f>"ZAE2BE3CB4"</f>
        <v>ZAE2BE3CB4</v>
      </c>
      <c r="D1506" t="str">
        <f>"29/11/2021"</f>
        <v>29/11/2021</v>
      </c>
      <c r="E1506" t="str">
        <f>""</f>
        <v/>
      </c>
      <c r="F1506" t="str">
        <f>""</f>
        <v/>
      </c>
      <c r="G1506" t="str">
        <f>"2459.02"</f>
        <v>2459.02</v>
      </c>
      <c r="H1506" t="str">
        <f>"CONSORZIO DI BONIFICA BACCHIGLIONE"</f>
        <v>CONSORZIO DI BONIFICA BACCHIGLIONE</v>
      </c>
      <c r="I1506" t="str">
        <f>"92223390284"</f>
        <v>92223390284</v>
      </c>
      <c r="J1506" t="str">
        <f>"23-AFFIDAMENTO DIRETTO"</f>
        <v>23-AFFIDAMENTO DIRETTO</v>
      </c>
      <c r="K1506" t="str">
        <f>"24/11/2021"</f>
        <v>24/11/2021</v>
      </c>
      <c r="L1506" t="str">
        <f>"28/02/2022"</f>
        <v>28/02/2022</v>
      </c>
      <c r="M1506" t="str">
        <f>""</f>
        <v/>
      </c>
      <c r="N1506" t="str">
        <f>"GBR ROSSETTO S.P.A."</f>
        <v>GBR ROSSETTO S.P.A.</v>
      </c>
      <c r="O1506" t="str">
        <f>"GBR ROSSETTO S.P.A."</f>
        <v>GBR ROSSETTO S.P.A.</v>
      </c>
      <c r="P1506" t="s">
        <v>132</v>
      </c>
      <c r="Q1506" t="str">
        <f>""</f>
        <v/>
      </c>
      <c r="R1506" t="str">
        <f>""</f>
        <v/>
      </c>
      <c r="S1506" t="str">
        <f>""</f>
        <v/>
      </c>
      <c r="T1506" t="str">
        <f>"https://portaletrasparenza.consorziobacchiglione.it/dettagli/attodigara/3187/integrazione-determina-dirigenziale-n-11-2020-del-22-01-2020-materiale-di-cancelleria.html"</f>
        <v>https://portaletrasparenza.consorziobacchiglione.it/dettagli/attodigara/3187/integrazione-determina-dirigenziale-n-11-2020-del-22-01-2020-materiale-di-cancelleria.html</v>
      </c>
      <c r="U1506" t="str">
        <f>"https://portaletrasparenza.consorziobacchiglione.it/download/attodigara/3187/62a210cab4bcc.PDF"</f>
        <v>https://portaletrasparenza.consorziobacchiglione.it/download/attodigara/3187/62a210cab4bcc.PDF</v>
      </c>
      <c r="V15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07" spans="1:22" x14ac:dyDescent="0.3">
      <c r="A1507" t="str">
        <f>"Affidamento"</f>
        <v>Affidamento</v>
      </c>
      <c r="B1507" t="str">
        <f>"Attività di trasferimento banca dati catastale su nuovo server e configurazione nas di backup"</f>
        <v>Attività di trasferimento banca dati catastale su nuovo server e configurazione nas di backup</v>
      </c>
      <c r="C1507" t="str">
        <f>"Z1A185CD50"</f>
        <v>Z1A185CD50</v>
      </c>
      <c r="D1507" t="str">
        <f>"04/11/2021"</f>
        <v>04/11/2021</v>
      </c>
      <c r="E1507" t="str">
        <f>""</f>
        <v/>
      </c>
      <c r="F1507" t="str">
        <f>""</f>
        <v/>
      </c>
      <c r="G1507" t="str">
        <f>"400.00"</f>
        <v>400.00</v>
      </c>
      <c r="H1507" t="str">
        <f>"Consorzio di bonifica Bacchiglione"</f>
        <v>Consorzio di bonifica Bacchiglione</v>
      </c>
      <c r="I1507" t="str">
        <f>"92223390284"</f>
        <v>92223390284</v>
      </c>
      <c r="J1507" t="str">
        <f>"23-AFFIDAMENTO DIRETTO"</f>
        <v>23-AFFIDAMENTO DIRETTO</v>
      </c>
      <c r="K1507" t="str">
        <f>"25/01/2021"</f>
        <v>25/01/2021</v>
      </c>
      <c r="L1507" t="str">
        <f>"01/02/2021"</f>
        <v>01/02/2021</v>
      </c>
      <c r="M1507" t="str">
        <f>""</f>
        <v/>
      </c>
      <c r="N1507" t="str">
        <f>"N.S.I.T. s.r.l."</f>
        <v>N.S.I.T. s.r.l.</v>
      </c>
      <c r="O1507" t="str">
        <f>"N.S.I.T. s.r.l."</f>
        <v>N.S.I.T. s.r.l.</v>
      </c>
      <c r="P1507" t="str">
        <f>"Z1A185CD50: [400.00€ ]"</f>
        <v>Z1A185CD50: [400.00€ ]</v>
      </c>
      <c r="Q1507" t="str">
        <f>""</f>
        <v/>
      </c>
      <c r="R1507" t="str">
        <f>""</f>
        <v/>
      </c>
      <c r="S1507" t="str">
        <f>""</f>
        <v/>
      </c>
      <c r="T1507" t="str">
        <f>"https://portaletrasparenza.consorziobacchiglione.it/dettagli/attodigara/88/attivita-di-trasferimento-banca-dati-catastale-su-nuovo-server-e-configurazione-nas-di-backup.html"</f>
        <v>https://portaletrasparenza.consorziobacchiglione.it/dettagli/attodigara/88/attivita-di-trasferimento-banca-dati-catastale-su-nuovo-server-e-configurazione-nas-di-backup.html</v>
      </c>
      <c r="U1507" t="str">
        <f>""</f>
        <v/>
      </c>
      <c r="V150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08" spans="1:22" x14ac:dyDescent="0.3">
      <c r="A1508" t="str">
        <f>"Affidamento"</f>
        <v>Affidamento</v>
      </c>
      <c r="B1508" t="str">
        <f>"Fornitura materiale di cancelleria."</f>
        <v>Fornitura materiale di cancelleria.</v>
      </c>
      <c r="C1508" t="str">
        <f>"Z34185423B"</f>
        <v>Z34185423B</v>
      </c>
      <c r="D1508" t="str">
        <f>"04/11/2021"</f>
        <v>04/11/2021</v>
      </c>
      <c r="E1508" t="str">
        <f>""</f>
        <v/>
      </c>
      <c r="F1508" t="str">
        <f>""</f>
        <v/>
      </c>
      <c r="G1508" t="str">
        <f>"2459.02"</f>
        <v>2459.02</v>
      </c>
      <c r="H1508" t="str">
        <f>"Consorzio di bonifica Bacchiglione"</f>
        <v>Consorzio di bonifica Bacchiglione</v>
      </c>
      <c r="I1508" t="str">
        <f>"92223390284"</f>
        <v>92223390284</v>
      </c>
      <c r="J1508" t="str">
        <f>"23-AFFIDAMENTO DIRETTO"</f>
        <v>23-AFFIDAMENTO DIRETTO</v>
      </c>
      <c r="K1508" t="str">
        <f>"25/01/2021"</f>
        <v>25/01/2021</v>
      </c>
      <c r="L1508" t="str">
        <f>"31/12/2021"</f>
        <v>31/12/2021</v>
      </c>
      <c r="M1508" t="str">
        <f>""</f>
        <v/>
      </c>
      <c r="N1508" t="str">
        <f>"ARTE E CARTE DI LINDA BORTOLAMI"</f>
        <v>ARTE E CARTE DI LINDA BORTOLAMI</v>
      </c>
      <c r="O1508" t="str">
        <f>"ARTE E CARTE DI LINDA BORTOLAMI"</f>
        <v>ARTE E CARTE DI LINDA BORTOLAMI</v>
      </c>
      <c r="P1508" t="str">
        <f>"Z34185423B: [346.77€ ]"</f>
        <v>Z34185423B: [346.77€ ]</v>
      </c>
      <c r="Q1508" t="str">
        <f>""</f>
        <v/>
      </c>
      <c r="R1508" t="str">
        <f>""</f>
        <v/>
      </c>
      <c r="S1508" t="str">
        <f>""</f>
        <v/>
      </c>
      <c r="T1508" t="str">
        <f>"https://portaletrasparenza.consorziobacchiglione.it/dettagli/attodigara/87/fornitura-materiale-di-cancelleria.html"</f>
        <v>https://portaletrasparenza.consorziobacchiglione.it/dettagli/attodigara/87/fornitura-materiale-di-cancelleria.html</v>
      </c>
      <c r="U1508" t="str">
        <f>""</f>
        <v/>
      </c>
      <c r="V1508">
        <f>(SUBSTITUTE(Tabella1[[#This Row],[Importo di aggiudicazione]],".",","))-(SUBSTITUTE(  SUBSTITUTE(          SUBSTITUTE(Tabella1[[#This Row],[Dettaglio somme liquidate]],Tabella1[[#This Row],[CIG]]&amp;": [",""),"€ ]",""),".",","))</f>
        <v>2112.25</v>
      </c>
    </row>
    <row r="1509" spans="1:22" x14ac:dyDescent="0.3">
      <c r="A1509" t="str">
        <f>"Affidamento"</f>
        <v>Affidamento</v>
      </c>
      <c r="B1509" t="str">
        <f>"Raddrizzatura e sistemazione con adattamento sponda posteriore con relativi piantoni del mezzo targato: CT189YR"</f>
        <v>Raddrizzatura e sistemazione con adattamento sponda posteriore con relativi piantoni del mezzo targato: CT189YR</v>
      </c>
      <c r="C1509" t="str">
        <f>"ZAE3057E53"</f>
        <v>ZAE3057E53</v>
      </c>
      <c r="D1509" t="str">
        <f>"25/01/2021"</f>
        <v>25/01/2021</v>
      </c>
      <c r="E1509" t="str">
        <f>""</f>
        <v/>
      </c>
      <c r="F1509" t="str">
        <f>""</f>
        <v/>
      </c>
      <c r="G1509" t="str">
        <f>"499.00"</f>
        <v>499.00</v>
      </c>
      <c r="H1509" t="str">
        <f>"Consorzio di bonifica Bacchiglione"</f>
        <v>Consorzio di bonifica Bacchiglione</v>
      </c>
      <c r="I1509" t="str">
        <f>"92223390284"</f>
        <v>92223390284</v>
      </c>
      <c r="J1509" t="str">
        <f>"23-AFFIDAMENTO DIRETTO"</f>
        <v>23-AFFIDAMENTO DIRETTO</v>
      </c>
      <c r="K1509" t="str">
        <f>"25/01/2021"</f>
        <v>25/01/2021</v>
      </c>
      <c r="L1509" t="str">
        <f>"27/01/2021"</f>
        <v>27/01/2021</v>
      </c>
      <c r="M1509" t="str">
        <f>""</f>
        <v/>
      </c>
      <c r="N1509" t="str">
        <f>"Moressa s.r.l. Via Cuccara 2 35020 Due Carrare PD"</f>
        <v>Moressa s.r.l. Via Cuccara 2 35020 Due Carrare PD</v>
      </c>
      <c r="O1509" t="str">
        <f>"Moressa s.r.l. Via Cuccara 2 35020 Due Carrare PD"</f>
        <v>Moressa s.r.l. Via Cuccara 2 35020 Due Carrare PD</v>
      </c>
      <c r="P1509" t="str">
        <f>"ZAE3057E53: [499.00€ ]"</f>
        <v>ZAE3057E53: [499.00€ ]</v>
      </c>
      <c r="Q1509" t="str">
        <f>""</f>
        <v/>
      </c>
      <c r="R1509" t="str">
        <f>""</f>
        <v/>
      </c>
      <c r="S1509" t="str">
        <f>""</f>
        <v/>
      </c>
      <c r="T1509" t="str">
        <f>"https://portaletrasparenza.consorziobacchiglione.it/dettagli/attodigara/6578/raddrizzatura-e-sistemazione-con-adattamento-sponda-posteriore-con-relativi-piantoni-del-mezzo-targato-ct189yr.html"</f>
        <v>https://portaletrasparenza.consorziobacchiglione.it/dettagli/attodigara/6578/raddrizzatura-e-sistemazione-con-adattamento-sponda-posteriore-con-relativi-piantoni-del-mezzo-targato-ct189yr.html</v>
      </c>
      <c r="U1509" t="str">
        <f>"https://portaletrasparenza.consorziobacchiglione.it/download/attodigara/6578/63ac454f46936.PDF"</f>
        <v>https://portaletrasparenza.consorziobacchiglione.it/download/attodigara/6578/63ac454f46936.PDF</v>
      </c>
      <c r="V15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10" spans="1:22" x14ac:dyDescent="0.3">
      <c r="A1510" t="str">
        <f>"Affidamento"</f>
        <v>Affidamento</v>
      </c>
      <c r="B1510" t="str">
        <f>"Riparazione kit guarnizioni martinetto doppio sfilo su mezzo targato: AKD221"</f>
        <v>Riparazione kit guarnizioni martinetto doppio sfilo su mezzo targato: AKD221</v>
      </c>
      <c r="C1510" t="str">
        <f>"Z06305706B"</f>
        <v>Z06305706B</v>
      </c>
      <c r="D1510" t="str">
        <f>"25/01/2021"</f>
        <v>25/01/2021</v>
      </c>
      <c r="E1510" t="str">
        <f>""</f>
        <v/>
      </c>
      <c r="F1510" t="str">
        <f>""</f>
        <v/>
      </c>
      <c r="G1510" t="str">
        <f>"162.53"</f>
        <v>162.53</v>
      </c>
      <c r="H1510" t="str">
        <f>"Consorzio di bonifica Bacchiglione"</f>
        <v>Consorzio di bonifica Bacchiglione</v>
      </c>
      <c r="I1510" t="str">
        <f>"92223390284"</f>
        <v>92223390284</v>
      </c>
      <c r="J1510" t="str">
        <f>"22-PROCEDURA NEGOZIATA CON PREVIA INDIZIONE DI GARA (SETTORI SPECIALI)"</f>
        <v>22-PROCEDURA NEGOZIATA CON PREVIA INDIZIONE DI GARA (SETTORI SPECIALI)</v>
      </c>
      <c r="K1510" t="str">
        <f>"25/01/2021"</f>
        <v>25/01/2021</v>
      </c>
      <c r="L1510" t="str">
        <f>"25/01/2021"</f>
        <v>25/01/2021</v>
      </c>
      <c r="M1510" t="str">
        <f>""</f>
        <v/>
      </c>
      <c r="N1510" t="str">
        <f>"Hymach s.r.l. Viale del Commercio 73 45039 Stienta RO"</f>
        <v>Hymach s.r.l. Viale del Commercio 73 45039 Stienta RO</v>
      </c>
      <c r="O1510" t="str">
        <f>"Hymach s.r.l. Viale del Commercio 73 45039 Stienta RO"</f>
        <v>Hymach s.r.l. Viale del Commercio 73 45039 Stienta RO</v>
      </c>
      <c r="P1510" t="str">
        <f>"Z06305706B: [162.53€ ]"</f>
        <v>Z06305706B: [162.53€ ]</v>
      </c>
      <c r="Q1510" t="str">
        <f>""</f>
        <v/>
      </c>
      <c r="R1510" t="str">
        <f>""</f>
        <v/>
      </c>
      <c r="S1510" t="str">
        <f>""</f>
        <v/>
      </c>
      <c r="T1510" t="str">
        <f>"https://portaletrasparenza.consorziobacchiglione.it/dettagli/attodigara/6576/riparazione-kit-guarnizioni-martinetto-doppio-sfilo-su-mezzo-targato-akd221.html"</f>
        <v>https://portaletrasparenza.consorziobacchiglione.it/dettagli/attodigara/6576/riparazione-kit-guarnizioni-martinetto-doppio-sfilo-su-mezzo-targato-akd221.html</v>
      </c>
      <c r="U1510" t="str">
        <f>"https://portaletrasparenza.consorziobacchiglione.it/download/attodigara/6576/63ac454ec9025.PDF"</f>
        <v>https://portaletrasparenza.consorziobacchiglione.it/download/attodigara/6576/63ac454ec9025.PDF</v>
      </c>
      <c r="V15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11" spans="1:22" x14ac:dyDescent="0.3">
      <c r="A1511" t="str">
        <f>"Affidamento"</f>
        <v>Affidamento</v>
      </c>
      <c r="B1511" t="str">
        <f>"Riparazione motosega Stihl e decespugliatore Subaru presso C.O.Bovolenta"</f>
        <v>Riparazione motosega Stihl e decespugliatore Subaru presso C.O.Bovolenta</v>
      </c>
      <c r="C1511" t="str">
        <f>"ZD230569A2"</f>
        <v>ZD230569A2</v>
      </c>
      <c r="D1511" t="str">
        <f>"25/01/2021"</f>
        <v>25/01/2021</v>
      </c>
      <c r="E1511" t="str">
        <f>""</f>
        <v/>
      </c>
      <c r="F1511" t="str">
        <f>""</f>
        <v/>
      </c>
      <c r="G1511" t="str">
        <f>"108.20"</f>
        <v>108.20</v>
      </c>
      <c r="H1511" t="str">
        <f>"Consorzio di bonifica Bacchiglione"</f>
        <v>Consorzio di bonifica Bacchiglione</v>
      </c>
      <c r="I1511" t="str">
        <f>"92223390284"</f>
        <v>92223390284</v>
      </c>
      <c r="J1511" t="str">
        <f>"23-AFFIDAMENTO DIRETTO"</f>
        <v>23-AFFIDAMENTO DIRETTO</v>
      </c>
      <c r="K1511" t="str">
        <f>"25/01/2021"</f>
        <v>25/01/2021</v>
      </c>
      <c r="L1511" t="str">
        <f>"28/01/2021"</f>
        <v>28/01/2021</v>
      </c>
      <c r="M1511" t="str">
        <f>""</f>
        <v/>
      </c>
      <c r="N1511" t="str">
        <f>"Mini Motor di Vettorato Gabriele Via Puccini 3 35020 Brugine PD"</f>
        <v>Mini Motor di Vettorato Gabriele Via Puccini 3 35020 Brugine PD</v>
      </c>
      <c r="O1511" t="str">
        <f>"Mini Motor di Vettorato Gabriele Via Puccini 3 35020 Brugine PD"</f>
        <v>Mini Motor di Vettorato Gabriele Via Puccini 3 35020 Brugine PD</v>
      </c>
      <c r="P1511" t="str">
        <f>"ZD230569A2: [108.20€ ]"</f>
        <v>ZD230569A2: [108.20€ ]</v>
      </c>
      <c r="Q1511" t="str">
        <f>""</f>
        <v/>
      </c>
      <c r="R1511" t="str">
        <f>""</f>
        <v/>
      </c>
      <c r="S1511" t="str">
        <f>""</f>
        <v/>
      </c>
      <c r="T1511" t="str">
        <f>"https://portaletrasparenza.consorziobacchiglione.it/dettagli/attodigara/6574/riparazione-motosega-stihl-e-decespugliatore-subaru-presso-c-o-bovolenta.html"</f>
        <v>https://portaletrasparenza.consorziobacchiglione.it/dettagli/attodigara/6574/riparazione-motosega-stihl-e-decespugliatore-subaru-presso-c-o-bovolenta.html</v>
      </c>
      <c r="U1511" t="str">
        <f>"https://portaletrasparenza.consorziobacchiglione.it/download/attodigara/6574/63ac454e905f5.PDF"</f>
        <v>https://portaletrasparenza.consorziobacchiglione.it/download/attodigara/6574/63ac454e905f5.PDF</v>
      </c>
      <c r="V151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12" spans="1:22" x14ac:dyDescent="0.3">
      <c r="A1512" t="str">
        <f>"Affidamento"</f>
        <v>Affidamento</v>
      </c>
      <c r="B1512" t="str">
        <f>"Fornitura stabilizzato per ripristino strada accesso impianto Grisa"</f>
        <v>Fornitura stabilizzato per ripristino strada accesso impianto Grisa</v>
      </c>
      <c r="C1512" t="str">
        <f>"Z53305728B"</f>
        <v>Z53305728B</v>
      </c>
      <c r="D1512" t="str">
        <f>"25/01/2021"</f>
        <v>25/01/2021</v>
      </c>
      <c r="E1512" t="str">
        <f>""</f>
        <v/>
      </c>
      <c r="F1512" t="str">
        <f>""</f>
        <v/>
      </c>
      <c r="G1512" t="str">
        <f>"742.50"</f>
        <v>742.50</v>
      </c>
      <c r="H1512" t="str">
        <f>"Consorzio di bonifica Bacchiglione"</f>
        <v>Consorzio di bonifica Bacchiglione</v>
      </c>
      <c r="I1512" t="str">
        <f>"92223390284"</f>
        <v>92223390284</v>
      </c>
      <c r="J1512" t="str">
        <f>"23-AFFIDAMENTO DIRETTO"</f>
        <v>23-AFFIDAMENTO DIRETTO</v>
      </c>
      <c r="K1512" t="str">
        <f>"25/01/2021"</f>
        <v>25/01/2021</v>
      </c>
      <c r="L1512" t="str">
        <f>"28/01/2021"</f>
        <v>28/01/2021</v>
      </c>
      <c r="M1512" t="str">
        <f>""</f>
        <v/>
      </c>
      <c r="N1512" t="str">
        <f>"Trovò s.r.l. Via Idrovora, 3 - 35020 Codevigo (PD)"</f>
        <v>Trovò s.r.l. Via Idrovora, 3 - 35020 Codevigo (PD)</v>
      </c>
      <c r="O1512" t="str">
        <f>"Trovò s.r.l. Via Idrovora, 3 - 35020 Codevigo (PD)"</f>
        <v>Trovò s.r.l. Via Idrovora, 3 - 35020 Codevigo (PD)</v>
      </c>
      <c r="P1512" t="str">
        <f>"Z53305728B: [704.70€ ]"</f>
        <v>Z53305728B: [704.70€ ]</v>
      </c>
      <c r="Q1512" t="str">
        <f>""</f>
        <v/>
      </c>
      <c r="R1512" t="str">
        <f>""</f>
        <v/>
      </c>
      <c r="S1512" t="str">
        <f>""</f>
        <v/>
      </c>
      <c r="T1512" t="str">
        <f>"https://portaletrasparenza.consorziobacchiglione.it/dettagli/attodigara/6577/fornitura-stabilizzato-per-ripristino-strada-accesso-impianto-grisa.html"</f>
        <v>https://portaletrasparenza.consorziobacchiglione.it/dettagli/attodigara/6577/fornitura-stabilizzato-per-ripristino-strada-accesso-impianto-grisa.html</v>
      </c>
      <c r="U1512" t="str">
        <f>"https://portaletrasparenza.consorziobacchiglione.it/download/attodigara/6577/63ac454f0e41c.PDF"</f>
        <v>https://portaletrasparenza.consorziobacchiglione.it/download/attodigara/6577/63ac454f0e41c.PDF</v>
      </c>
      <c r="V1512">
        <f>(SUBSTITUTE(Tabella1[[#This Row],[Importo di aggiudicazione]],".",","))-(SUBSTITUTE(  SUBSTITUTE(          SUBSTITUTE(Tabella1[[#This Row],[Dettaglio somme liquidate]],Tabella1[[#This Row],[CIG]]&amp;": [",""),"€ ]",""),".",","))</f>
        <v>37.799999999999955</v>
      </c>
    </row>
    <row r="1513" spans="1:22" x14ac:dyDescent="0.3">
      <c r="A1513" t="str">
        <f>"Affidamento"</f>
        <v>Affidamento</v>
      </c>
      <c r="B1513" t="str">
        <f>"Lavori di inerbimento su superfici inclinate mediante la tecnica dell'idrosemina lungo lo scolo Altipiano"</f>
        <v>Lavori di inerbimento su superfici inclinate mediante la tecnica dell'idrosemina lungo lo scolo Altipiano</v>
      </c>
      <c r="C1513" t="str">
        <f>"Z683056B75"</f>
        <v>Z683056B75</v>
      </c>
      <c r="D1513" t="str">
        <f>"25/01/2021"</f>
        <v>25/01/2021</v>
      </c>
      <c r="E1513" t="str">
        <f>""</f>
        <v/>
      </c>
      <c r="F1513" t="str">
        <f>""</f>
        <v/>
      </c>
      <c r="G1513" t="str">
        <f>"500.00"</f>
        <v>500.00</v>
      </c>
      <c r="H1513" t="str">
        <f>"Consorzio di bonifica Bacchiglione"</f>
        <v>Consorzio di bonifica Bacchiglione</v>
      </c>
      <c r="I1513" t="str">
        <f>"92223390284"</f>
        <v>92223390284</v>
      </c>
      <c r="J1513" t="str">
        <f>"23-AFFIDAMENTO DIRETTO"</f>
        <v>23-AFFIDAMENTO DIRETTO</v>
      </c>
      <c r="K1513" t="str">
        <f>"25/01/2021"</f>
        <v>25/01/2021</v>
      </c>
      <c r="L1513" t="str">
        <f>"31/12/2021"</f>
        <v>31/12/2021</v>
      </c>
      <c r="M1513" t="str">
        <f>""</f>
        <v/>
      </c>
      <c r="N1513" t="str">
        <f>"Vivai Borgato Monaro s.s. Via Pava, 29 - 30030 Vigonovo (VE)"</f>
        <v>Vivai Borgato Monaro s.s. Via Pava, 29 - 30030 Vigonovo (VE)</v>
      </c>
      <c r="O1513" t="str">
        <f>"Vivai Borgato Monaro s.s. Via Pava, 29 - 30030 Vigonovo (VE)"</f>
        <v>Vivai Borgato Monaro s.s. Via Pava, 29 - 30030 Vigonovo (VE)</v>
      </c>
      <c r="P1513" t="str">
        <f>"Z683056B75: [0.00€ ]"</f>
        <v>Z683056B75: [0.00€ ]</v>
      </c>
      <c r="Q1513" t="str">
        <f>""</f>
        <v/>
      </c>
      <c r="R1513" t="str">
        <f>""</f>
        <v/>
      </c>
      <c r="S1513" t="str">
        <f>""</f>
        <v/>
      </c>
      <c r="T1513" t="str">
        <f>"https://portaletrasparenza.consorziobacchiglione.it/dettagli/attodigara/6575/lavori-di-inerbimento-su-superfici-inclinate-mediante-la-tecnica-dell-idrosemina-lungo-lo-scolo-altipiano.html"</f>
        <v>https://portaletrasparenza.consorziobacchiglione.it/dettagli/attodigara/6575/lavori-di-inerbimento-su-superfici-inclinate-mediante-la-tecnica-dell-idrosemina-lungo-lo-scolo-altipiano.html</v>
      </c>
      <c r="U1513" t="str">
        <f>"https://portaletrasparenza.consorziobacchiglione.it/download/attodigara/6575/62a209646d416.PDF"</f>
        <v>https://portaletrasparenza.consorziobacchiglione.it/download/attodigara/6575/62a209646d416.PDF</v>
      </c>
      <c r="V1513">
        <f>(SUBSTITUTE(Tabella1[[#This Row],[Importo di aggiudicazione]],".",","))-(SUBSTITUTE(  SUBSTITUTE(          SUBSTITUTE(Tabella1[[#This Row],[Dettaglio somme liquidate]],Tabella1[[#This Row],[CIG]]&amp;": [",""),"€ ]",""),".",","))</f>
        <v>500</v>
      </c>
    </row>
    <row r="1514" spans="1:22" x14ac:dyDescent="0.3">
      <c r="A1514" t="str">
        <f>"Affidamento"</f>
        <v>Affidamento</v>
      </c>
      <c r="B1514" t="str">
        <f>"Fornitura 2500 litri di GPL per sito museale C.O.S.Margherita"</f>
        <v>Fornitura 2500 litri di GPL per sito museale C.O.S.Margherita</v>
      </c>
      <c r="C1514" t="str">
        <f>"Z5330566C7"</f>
        <v>Z5330566C7</v>
      </c>
      <c r="D1514" t="str">
        <f>"25/01/2021"</f>
        <v>25/01/2021</v>
      </c>
      <c r="E1514" t="str">
        <f>""</f>
        <v/>
      </c>
      <c r="F1514" t="str">
        <f>""</f>
        <v/>
      </c>
      <c r="G1514" t="str">
        <f>"2200.00"</f>
        <v>2200.00</v>
      </c>
      <c r="H1514" t="str">
        <f>"Consorzio di bonifica Bacchiglione"</f>
        <v>Consorzio di bonifica Bacchiglione</v>
      </c>
      <c r="I1514" t="str">
        <f>"92223390284"</f>
        <v>92223390284</v>
      </c>
      <c r="J1514" t="str">
        <f>"23-AFFIDAMENTO DIRETTO"</f>
        <v>23-AFFIDAMENTO DIRETTO</v>
      </c>
      <c r="K1514" t="str">
        <f>"25/01/2021"</f>
        <v>25/01/2021</v>
      </c>
      <c r="L1514" t="str">
        <f>"31/12/2021"</f>
        <v>31/12/2021</v>
      </c>
      <c r="M1514" t="str">
        <f>""</f>
        <v/>
      </c>
      <c r="N1514" t="str">
        <f>"Loro F.lli S.p.A. Via Circonvallazione 95 36045 Lonigo VI"</f>
        <v>Loro F.lli S.p.A. Via Circonvallazione 95 36045 Lonigo VI</v>
      </c>
      <c r="O1514" t="str">
        <f>"Loro F.lli S.p.A. Via Circonvallazione 95 36045 Lonigo VI"</f>
        <v>Loro F.lli S.p.A. Via Circonvallazione 95 36045 Lonigo VI</v>
      </c>
      <c r="P1514" t="str">
        <f>"Z5330566C7: [941.79€ ]"</f>
        <v>Z5330566C7: [941.79€ ]</v>
      </c>
      <c r="Q1514" t="str">
        <f>""</f>
        <v/>
      </c>
      <c r="R1514" t="str">
        <f>""</f>
        <v/>
      </c>
      <c r="S1514" t="str">
        <f>""</f>
        <v/>
      </c>
      <c r="T1514" t="str">
        <f>"https://portaletrasparenza.consorziobacchiglione.it/dettagli/attodigara/6573/fornitura-2500-litri-di-gpl-per-sito-museale-c-o-s-margherita.html"</f>
        <v>https://portaletrasparenza.consorziobacchiglione.it/dettagli/attodigara/6573/fornitura-2500-litri-di-gpl-per-sito-museale-c-o-s-margherita.html</v>
      </c>
      <c r="U1514" t="str">
        <f>"https://portaletrasparenza.consorziobacchiglione.it/download/attodigara/6573/63ac454e5813e.PDF"</f>
        <v>https://portaletrasparenza.consorziobacchiglione.it/download/attodigara/6573/63ac454e5813e.PDF</v>
      </c>
      <c r="V1514">
        <f>(SUBSTITUTE(Tabella1[[#This Row],[Importo di aggiudicazione]],".",","))-(SUBSTITUTE(  SUBSTITUTE(          SUBSTITUTE(Tabella1[[#This Row],[Dettaglio somme liquidate]],Tabella1[[#This Row],[CIG]]&amp;": [",""),"€ ]",""),".",","))</f>
        <v>1258.21</v>
      </c>
    </row>
    <row r="1515" spans="1:22" x14ac:dyDescent="0.3">
      <c r="A1515" t="str">
        <f>"Affidamento"</f>
        <v>Affidamento</v>
      </c>
      <c r="B1515" t="str">
        <f>"Fornitura materiale elettrico per Idrovora Olmo e vari Impianti"</f>
        <v>Fornitura materiale elettrico per Idrovora Olmo e vari Impianti</v>
      </c>
      <c r="C1515" t="str">
        <f>"ZD73058A5B"</f>
        <v>ZD73058A5B</v>
      </c>
      <c r="D1515" t="str">
        <f>"26/01/2021"</f>
        <v>26/01/2021</v>
      </c>
      <c r="E1515" t="str">
        <f>""</f>
        <v/>
      </c>
      <c r="F1515" t="str">
        <f>""</f>
        <v/>
      </c>
      <c r="G1515" t="str">
        <f>"4341.20"</f>
        <v>4341.20</v>
      </c>
      <c r="H1515" t="str">
        <f>"Consorzio di bonifica Bacchiglione"</f>
        <v>Consorzio di bonifica Bacchiglione</v>
      </c>
      <c r="I1515" t="str">
        <f>"92223390284"</f>
        <v>92223390284</v>
      </c>
      <c r="J1515" t="str">
        <f>"23-AFFIDAMENTO DIRETTO"</f>
        <v>23-AFFIDAMENTO DIRETTO</v>
      </c>
      <c r="K1515" t="str">
        <f>"25/01/2021"</f>
        <v>25/01/2021</v>
      </c>
      <c r="L1515" t="str">
        <f>"31/03/2021"</f>
        <v>31/03/2021</v>
      </c>
      <c r="M1515" t="str">
        <f>""</f>
        <v/>
      </c>
      <c r="N1515" t="str">
        <f>"Elettroveneta S.p.A. Viale della Navigazione Interna, 48 - 35129 Padova (PD)"</f>
        <v>Elettroveneta S.p.A. Viale della Navigazione Interna, 48 - 35129 Padova (PD)</v>
      </c>
      <c r="O1515" t="str">
        <f>"Elettroveneta S.p.A. Viale della Navigazione Interna, 48 - 35129 Padova (PD)"</f>
        <v>Elettroveneta S.p.A. Viale della Navigazione Interna, 48 - 35129 Padova (PD)</v>
      </c>
      <c r="P1515" t="str">
        <f>"ZD73058A5B: [4232.09€ ]"</f>
        <v>ZD73058A5B: [4232.09€ ]</v>
      </c>
      <c r="Q1515" t="str">
        <f>""</f>
        <v/>
      </c>
      <c r="R1515" t="str">
        <f>""</f>
        <v/>
      </c>
      <c r="S1515" t="str">
        <f>""</f>
        <v/>
      </c>
      <c r="T1515" t="str">
        <f>"https://portaletrasparenza.consorziobacchiglione.it/dettagli/attodigara/6579/fornitura-materiale-elettrico-per-idrovora-olmo-e-vari-impianti.html"</f>
        <v>https://portaletrasparenza.consorziobacchiglione.it/dettagli/attodigara/6579/fornitura-materiale-elettrico-per-idrovora-olmo-e-vari-impianti.html</v>
      </c>
      <c r="U1515" t="str">
        <f>"https://portaletrasparenza.consorziobacchiglione.it/download/attodigara/6579/63ac454fb73c5.PDF"</f>
        <v>https://portaletrasparenza.consorziobacchiglione.it/download/attodigara/6579/63ac454fb73c5.PDF</v>
      </c>
      <c r="V1515">
        <f>(SUBSTITUTE(Tabella1[[#This Row],[Importo di aggiudicazione]],".",","))-(SUBSTITUTE(  SUBSTITUTE(          SUBSTITUTE(Tabella1[[#This Row],[Dettaglio somme liquidate]],Tabella1[[#This Row],[CIG]]&amp;": [",""),"€ ]",""),".",","))</f>
        <v>109.10999999999967</v>
      </c>
    </row>
    <row r="1516" spans="1:22" x14ac:dyDescent="0.3">
      <c r="A1516" t="str">
        <f>"Affidamento"</f>
        <v>Affidamento</v>
      </c>
      <c r="B1516" t="str">
        <f>"Costruzione nuovo tubo zincato per scarico acqua Idrovora Zena."</f>
        <v>Costruzione nuovo tubo zincato per scarico acqua Idrovora Zena.</v>
      </c>
      <c r="C1516" t="str">
        <f>"ZB518B4023"</f>
        <v>ZB518B4023</v>
      </c>
      <c r="D1516" t="str">
        <f>"04/11/2021"</f>
        <v>04/11/2021</v>
      </c>
      <c r="E1516" t="str">
        <f>""</f>
        <v/>
      </c>
      <c r="F1516" t="str">
        <f>""</f>
        <v/>
      </c>
      <c r="G1516" t="str">
        <f>"1150.00"</f>
        <v>1150.00</v>
      </c>
      <c r="H1516" t="str">
        <f>"Consorzio di bonifica Bacchiglione"</f>
        <v>Consorzio di bonifica Bacchiglione</v>
      </c>
      <c r="I1516" t="str">
        <f>"92223390284"</f>
        <v>92223390284</v>
      </c>
      <c r="J1516" t="str">
        <f>"23-AFFIDAMENTO DIRETTO"</f>
        <v>23-AFFIDAMENTO DIRETTO</v>
      </c>
      <c r="K1516" t="str">
        <f>"25/02/2021"</f>
        <v>25/02/2021</v>
      </c>
      <c r="L1516" t="str">
        <f>"18/05/2021"</f>
        <v>18/05/2021</v>
      </c>
      <c r="M1516" t="str">
        <f>""</f>
        <v/>
      </c>
      <c r="N1516" t="str">
        <f>"Officina Biesse S.n.c. Via Matteotti 24 35020 Arzergrande PD"</f>
        <v>Officina Biesse S.n.c. Via Matteotti 24 35020 Arzergrande PD</v>
      </c>
      <c r="O1516" t="str">
        <f>"Officina Biesse S.n.c. Via Matteotti 24 35020 Arzergrande PD"</f>
        <v>Officina Biesse S.n.c. Via Matteotti 24 35020 Arzergrande PD</v>
      </c>
      <c r="P1516" t="str">
        <f>"ZB518B4023: [1150.00€ ]"</f>
        <v>ZB518B4023: [1150.00€ ]</v>
      </c>
      <c r="Q1516" t="str">
        <f>""</f>
        <v/>
      </c>
      <c r="R1516" t="str">
        <f>""</f>
        <v/>
      </c>
      <c r="S1516" t="str">
        <f>""</f>
        <v/>
      </c>
      <c r="T1516" t="str">
        <f>"https://portaletrasparenza.consorziobacchiglione.it/dettagli/attodigara/179/costruzione-nuovo-tubo-zincato-per-scarico-acqua-idrovora-zena.html"</f>
        <v>https://portaletrasparenza.consorziobacchiglione.it/dettagli/attodigara/179/costruzione-nuovo-tubo-zincato-per-scarico-acqua-idrovora-zena.html</v>
      </c>
      <c r="U1516" t="str">
        <f>""</f>
        <v/>
      </c>
      <c r="V151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17" spans="1:22" x14ac:dyDescent="0.3">
      <c r="A1517" t="str">
        <f>"Affidamento"</f>
        <v>Affidamento</v>
      </c>
      <c r="B1517" t="str">
        <f>"Sostituzione olio supporti bronzine pompe centrifughe Idrovora Bovolenta."</f>
        <v>Sostituzione olio supporti bronzine pompe centrifughe Idrovora Bovolenta.</v>
      </c>
      <c r="C1517" t="str">
        <f>"ZAA18B3C31"</f>
        <v>ZAA18B3C31</v>
      </c>
      <c r="D1517" t="str">
        <f>"04/11/2021"</f>
        <v>04/11/2021</v>
      </c>
      <c r="E1517" t="str">
        <f>""</f>
        <v/>
      </c>
      <c r="F1517" t="str">
        <f>""</f>
        <v/>
      </c>
      <c r="G1517" t="str">
        <f>"459.00"</f>
        <v>459.00</v>
      </c>
      <c r="H1517" t="str">
        <f>"Consorzio di bonifica Bacchiglione"</f>
        <v>Consorzio di bonifica Bacchiglione</v>
      </c>
      <c r="I1517" t="str">
        <f>"92223390284"</f>
        <v>92223390284</v>
      </c>
      <c r="J1517" t="str">
        <f>"23-AFFIDAMENTO DIRETTO"</f>
        <v>23-AFFIDAMENTO DIRETTO</v>
      </c>
      <c r="K1517" t="str">
        <f>"25/02/2021"</f>
        <v>25/02/2021</v>
      </c>
      <c r="L1517" t="str">
        <f>"14/04/2021"</f>
        <v>14/04/2021</v>
      </c>
      <c r="M1517" t="str">
        <f>""</f>
        <v/>
      </c>
      <c r="N1517" t="str">
        <f>"Officina Biesse S.n.c. Via Matteotti 24 35020 Arzergrande PD"</f>
        <v>Officina Biesse S.n.c. Via Matteotti 24 35020 Arzergrande PD</v>
      </c>
      <c r="O1517" t="str">
        <f>"Officina Biesse S.n.c. Via Matteotti 24 35020 Arzergrande PD"</f>
        <v>Officina Biesse S.n.c. Via Matteotti 24 35020 Arzergrande PD</v>
      </c>
      <c r="P1517" t="str">
        <f>"ZAA18B3C31: [459.00€ ]"</f>
        <v>ZAA18B3C31: [459.00€ ]</v>
      </c>
      <c r="Q1517" t="str">
        <f>""</f>
        <v/>
      </c>
      <c r="R1517" t="str">
        <f>""</f>
        <v/>
      </c>
      <c r="S1517" t="str">
        <f>""</f>
        <v/>
      </c>
      <c r="T1517" t="str">
        <f>"https://portaletrasparenza.consorziobacchiglione.it/dettagli/attodigara/178/sostituzione-olio-supporti-bronzine-pompe-centrifughe-idrovora-bovolenta.html"</f>
        <v>https://portaletrasparenza.consorziobacchiglione.it/dettagli/attodigara/178/sostituzione-olio-supporti-bronzine-pompe-centrifughe-idrovora-bovolenta.html</v>
      </c>
      <c r="U1517" t="str">
        <f>""</f>
        <v/>
      </c>
      <c r="V151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18" spans="1:22" x14ac:dyDescent="0.3">
      <c r="A1518" t="str">
        <f>"Affidamento"</f>
        <v>Affidamento</v>
      </c>
      <c r="B1518" t="str">
        <f>"Manutenzione ,riparazione, lavaggio più ingrassaggio mezzi con targa : AJ206BM, PDAH521, PDB49360."</f>
        <v>Manutenzione ,riparazione, lavaggio più ingrassaggio mezzi con targa : AJ206BM, PDAH521, PDB49360.</v>
      </c>
      <c r="C1518" t="str">
        <f>"ZB618B2DC7"</f>
        <v>ZB618B2DC7</v>
      </c>
      <c r="D1518" t="str">
        <f>"04/11/2021"</f>
        <v>04/11/2021</v>
      </c>
      <c r="E1518" t="str">
        <f>""</f>
        <v/>
      </c>
      <c r="F1518" t="str">
        <f>""</f>
        <v/>
      </c>
      <c r="G1518" t="str">
        <f>"5656.66"</f>
        <v>5656.66</v>
      </c>
      <c r="H1518" t="str">
        <f>"Consorzio di bonifica Bacchiglione"</f>
        <v>Consorzio di bonifica Bacchiglione</v>
      </c>
      <c r="I1518" t="str">
        <f>"92223390284"</f>
        <v>92223390284</v>
      </c>
      <c r="J1518" t="str">
        <f>"23-AFFIDAMENTO DIRETTO"</f>
        <v>23-AFFIDAMENTO DIRETTO</v>
      </c>
      <c r="K1518" t="str">
        <f>"25/02/2021"</f>
        <v>25/02/2021</v>
      </c>
      <c r="L1518" t="str">
        <f>"08/03/2021"</f>
        <v>08/03/2021</v>
      </c>
      <c r="M1518" t="str">
        <f>""</f>
        <v/>
      </c>
      <c r="N1518" t="str">
        <f>"Officina Biesse S.n.c. Via Matteotti 24 35020 Arzergrande PD"</f>
        <v>Officina Biesse S.n.c. Via Matteotti 24 35020 Arzergrande PD</v>
      </c>
      <c r="O1518" t="str">
        <f>"Officina Biesse S.n.c. Via Matteotti 24 35020 Arzergrande PD"</f>
        <v>Officina Biesse S.n.c. Via Matteotti 24 35020 Arzergrande PD</v>
      </c>
      <c r="P1518" t="str">
        <f>"ZB618B2DC7: [5656.66€ ]"</f>
        <v>ZB618B2DC7: [5656.66€ ]</v>
      </c>
      <c r="Q1518" t="str">
        <f>""</f>
        <v/>
      </c>
      <c r="R1518" t="str">
        <f>""</f>
        <v/>
      </c>
      <c r="S1518" t="str">
        <f>""</f>
        <v/>
      </c>
      <c r="T1518" t="str">
        <f>"https://portaletrasparenza.consorziobacchiglione.it/dettagli/attodigara/177/manutenzione-riparazione-lavaggio-piu-ingrassaggio-mezzi-con-targa-aj206bm-pdah521-pdb49360.html"</f>
        <v>https://portaletrasparenza.consorziobacchiglione.it/dettagli/attodigara/177/manutenzione-riparazione-lavaggio-piu-ingrassaggio-mezzi-con-targa-aj206bm-pdah521-pdb49360.html</v>
      </c>
      <c r="U1518" t="str">
        <f>""</f>
        <v/>
      </c>
      <c r="V151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19" spans="1:22" x14ac:dyDescent="0.3">
      <c r="A1519" t="str">
        <f>"Affidamento"</f>
        <v>Affidamento</v>
      </c>
      <c r="B1519" t="str">
        <f>"Trasporto trattore Valtra T104 targato AKS681 da officina Hymach a C.O.S.Margherita"</f>
        <v>Trasporto trattore Valtra T104 targato AKS681 da officina Hymach a C.O.S.Margherita</v>
      </c>
      <c r="C1519" t="str">
        <f>"Z6630C83BA"</f>
        <v>Z6630C83BA</v>
      </c>
      <c r="D1519" t="str">
        <f>"26/02/2021"</f>
        <v>26/02/2021</v>
      </c>
      <c r="E1519" t="str">
        <f>""</f>
        <v/>
      </c>
      <c r="F1519" t="str">
        <f>""</f>
        <v/>
      </c>
      <c r="G1519" t="str">
        <f>"240.00"</f>
        <v>240.00</v>
      </c>
      <c r="H1519" t="str">
        <f>"Consorzio di bonifica Bacchiglione"</f>
        <v>Consorzio di bonifica Bacchiglione</v>
      </c>
      <c r="I1519" t="str">
        <f>"92223390284"</f>
        <v>92223390284</v>
      </c>
      <c r="J1519" t="str">
        <f>"23-AFFIDAMENTO DIRETTO"</f>
        <v>23-AFFIDAMENTO DIRETTO</v>
      </c>
      <c r="K1519" t="str">
        <f>"25/02/2021"</f>
        <v>25/02/2021</v>
      </c>
      <c r="L1519" t="str">
        <f>"28/02/2021"</f>
        <v>28/02/2021</v>
      </c>
      <c r="M1519" t="str">
        <f>""</f>
        <v/>
      </c>
      <c r="N1519" t="str">
        <f>"Trovò s.r.l. Via Idrovora, 3 - 35020 Codevigo (PD)"</f>
        <v>Trovò s.r.l. Via Idrovora, 3 - 35020 Codevigo (PD)</v>
      </c>
      <c r="O1519" t="str">
        <f>"Trovò s.r.l. Via Idrovora, 3 - 35020 Codevigo (PD)"</f>
        <v>Trovò s.r.l. Via Idrovora, 3 - 35020 Codevigo (PD)</v>
      </c>
      <c r="P1519" t="str">
        <f>"Z6630C83BA: [240.00€ ]"</f>
        <v>Z6630C83BA: [240.00€ ]</v>
      </c>
      <c r="Q1519" t="str">
        <f>""</f>
        <v/>
      </c>
      <c r="R1519" t="str">
        <f>""</f>
        <v/>
      </c>
      <c r="S1519" t="str">
        <f>""</f>
        <v/>
      </c>
      <c r="T1519" t="str">
        <f>"https://portaletrasparenza.consorziobacchiglione.it/dettagli/attodigara/6658/trasporto-trattore-valtra-t104-targato-aks681-da-officina-hymach-a-c-o-s-margherita.html"</f>
        <v>https://portaletrasparenza.consorziobacchiglione.it/dettagli/attodigara/6658/trasporto-trattore-valtra-t104-targato-aks681-da-officina-hymach-a-c-o-s-margherita.html</v>
      </c>
      <c r="U1519" t="str">
        <f>"https://portaletrasparenza.consorziobacchiglione.it/download/attodigara/6658/63ac4561e232e.PDF"</f>
        <v>https://portaletrasparenza.consorziobacchiglione.it/download/attodigara/6658/63ac4561e232e.PDF</v>
      </c>
      <c r="V151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20" spans="1:22" x14ac:dyDescent="0.3">
      <c r="A1520" t="str">
        <f>"Affidamento"</f>
        <v>Affidamento</v>
      </c>
      <c r="B1520" t="str">
        <f>"Collaudo in data 18/03/21 n. 4 serbatoi porta carburante presso C.O.S.Margherita e C.O.Bovolenta"</f>
        <v>Collaudo in data 18/03/21 n. 4 serbatoi porta carburante presso C.O.S.Margherita e C.O.Bovolenta</v>
      </c>
      <c r="C1520" t="str">
        <f>"Z8430C8AD5"</f>
        <v>Z8430C8AD5</v>
      </c>
      <c r="D1520" t="str">
        <f>"26/02/2021"</f>
        <v>26/02/2021</v>
      </c>
      <c r="E1520" t="str">
        <f>""</f>
        <v/>
      </c>
      <c r="F1520" t="str">
        <f>""</f>
        <v/>
      </c>
      <c r="G1520" t="str">
        <f>"1248.00"</f>
        <v>1248.00</v>
      </c>
      <c r="H1520" t="str">
        <f>"Consorzio di bonifica Bacchiglione"</f>
        <v>Consorzio di bonifica Bacchiglione</v>
      </c>
      <c r="I1520" t="str">
        <f>"92223390284"</f>
        <v>92223390284</v>
      </c>
      <c r="J1520" t="str">
        <f>"23-AFFIDAMENTO DIRETTO"</f>
        <v>23-AFFIDAMENTO DIRETTO</v>
      </c>
      <c r="K1520" t="str">
        <f>"25/02/2021"</f>
        <v>25/02/2021</v>
      </c>
      <c r="L1520" t="str">
        <f>"22/03/2021"</f>
        <v>22/03/2021</v>
      </c>
      <c r="M1520" t="str">
        <f>""</f>
        <v/>
      </c>
      <c r="N1520" t="str">
        <f>"Emiliana Serbatoi Via Largo Maestri del Lavoro 40 41011 Campogalliano MO"</f>
        <v>Emiliana Serbatoi Via Largo Maestri del Lavoro 40 41011 Campogalliano MO</v>
      </c>
      <c r="O1520" t="str">
        <f>"Emiliana Serbatoi Via Largo Maestri del Lavoro 40 41011 Campogalliano MO"</f>
        <v>Emiliana Serbatoi Via Largo Maestri del Lavoro 40 41011 Campogalliano MO</v>
      </c>
      <c r="P1520" t="str">
        <f>"Z8430C8AD5: [797.40€ ]"</f>
        <v>Z8430C8AD5: [797.40€ ]</v>
      </c>
      <c r="Q1520" t="str">
        <f>""</f>
        <v/>
      </c>
      <c r="R1520" t="str">
        <f>""</f>
        <v/>
      </c>
      <c r="S1520" t="str">
        <f>""</f>
        <v/>
      </c>
      <c r="T1520" t="str">
        <f>"https://portaletrasparenza.consorziobacchiglione.it/dettagli/attodigara/6659/collaudo-in-data-18-03-21-n-4-serbatoi-porta-carburante-presso-c-o-s-margherita-e-c-o-bovolenta.html"</f>
        <v>https://portaletrasparenza.consorziobacchiglione.it/dettagli/attodigara/6659/collaudo-in-data-18-03-21-n-4-serbatoi-porta-carburante-presso-c-o-s-margherita-e-c-o-bovolenta.html</v>
      </c>
      <c r="U1520" t="str">
        <f>"https://portaletrasparenza.consorziobacchiglione.it/download/attodigara/6659/63ac4561a9825.PDF"</f>
        <v>https://portaletrasparenza.consorziobacchiglione.it/download/attodigara/6659/63ac4561a9825.PDF</v>
      </c>
      <c r="V1520">
        <f>(SUBSTITUTE(Tabella1[[#This Row],[Importo di aggiudicazione]],".",","))-(SUBSTITUTE(  SUBSTITUTE(          SUBSTITUTE(Tabella1[[#This Row],[Dettaglio somme liquidate]],Tabella1[[#This Row],[CIG]]&amp;": [",""),"€ ]",""),".",","))</f>
        <v>450.6</v>
      </c>
    </row>
    <row r="1521" spans="1:22" x14ac:dyDescent="0.3">
      <c r="A1521" t="str">
        <f>"Affidamento"</f>
        <v>Affidamento</v>
      </c>
      <c r="B1521" t="str">
        <f>"Interventi di ripristino delle sponde franate dello scolo Fiumicello e di ripristino della sezione mediante lo scavo dei sedimenti depositati sul fondo - Caratterizzazione ambientale sedimenti scolo Fiumicello -lavoro pr"</f>
        <v>Interventi di ripristino delle sponde franate dello scolo Fiumicello e di ripristino della sezione mediante lo scavo dei sedimenti depositati sul fondo - Caratterizzazione ambientale sedimenti scolo Fiumicello -lavoro pr</v>
      </c>
      <c r="C1521" t="str">
        <f>"Z2C30CB4CE"</f>
        <v>Z2C30CB4CE</v>
      </c>
      <c r="D1521" t="str">
        <f>"26/02/2021"</f>
        <v>26/02/2021</v>
      </c>
      <c r="E1521" t="str">
        <f>""</f>
        <v/>
      </c>
      <c r="F1521" t="str">
        <f>""</f>
        <v/>
      </c>
      <c r="G1521" t="str">
        <f>"18720.00"</f>
        <v>18720.00</v>
      </c>
      <c r="H1521" t="str">
        <f>"Consorzio di bonifica Bacchiglione"</f>
        <v>Consorzio di bonifica Bacchiglione</v>
      </c>
      <c r="I1521" t="str">
        <f>"92223390284"</f>
        <v>92223390284</v>
      </c>
      <c r="J1521" t="str">
        <f>"23-AFFIDAMENTO DIRETTO"</f>
        <v>23-AFFIDAMENTO DIRETTO</v>
      </c>
      <c r="K1521" t="str">
        <f>"25/02/2021"</f>
        <v>25/02/2021</v>
      </c>
      <c r="L1521" t="str">
        <f>"31/12/2021"</f>
        <v>31/12/2021</v>
      </c>
      <c r="M1521" t="str">
        <f>""</f>
        <v/>
      </c>
      <c r="N1521" t="str">
        <f>"Geologia Tecnica sas di Vorlicek P.A. E C."</f>
        <v>Geologia Tecnica sas di Vorlicek P.A. E C.</v>
      </c>
      <c r="O1521" t="str">
        <f>"Geologia Tecnica sas di Vorlicek P.A. E C."</f>
        <v>Geologia Tecnica sas di Vorlicek P.A. E C.</v>
      </c>
      <c r="P1521" t="str">
        <f>"Z2C30CB4CE: [16720.00€ ]"</f>
        <v>Z2C30CB4CE: [16720.00€ ]</v>
      </c>
      <c r="Q1521" t="str">
        <f>""</f>
        <v/>
      </c>
      <c r="R1521" t="str">
        <f>""</f>
        <v/>
      </c>
      <c r="S1521" t="str">
        <f>""</f>
        <v/>
      </c>
      <c r="T1521" t="s">
        <v>114</v>
      </c>
      <c r="U1521" t="str">
        <f>"https://portaletrasparenza.consorziobacchiglione.it/download/attodigara/6660/63ac4561380e4.PDF"</f>
        <v>https://portaletrasparenza.consorziobacchiglione.it/download/attodigara/6660/63ac4561380e4.PDF</v>
      </c>
      <c r="V1521">
        <f>(SUBSTITUTE(Tabella1[[#This Row],[Importo di aggiudicazione]],".",","))-(SUBSTITUTE(  SUBSTITUTE(          SUBSTITUTE(Tabella1[[#This Row],[Dettaglio somme liquidate]],Tabella1[[#This Row],[CIG]]&amp;": [",""),"€ ]",""),".",","))</f>
        <v>2000</v>
      </c>
    </row>
    <row r="1522" spans="1:22" x14ac:dyDescent="0.3">
      <c r="A1522" t="str">
        <f>"Affidamento"</f>
        <v>Affidamento</v>
      </c>
      <c r="B1522" t="str">
        <f>"Incarico professionale di service tecnico e di coordinatore della sicurezza in fase di progettazione (CSP) ed esecuzione (CSE)."</f>
        <v>Incarico professionale di service tecnico e di coordinatore della sicurezza in fase di progettazione (CSP) ed esecuzione (CSE).</v>
      </c>
      <c r="C1522" t="str">
        <f>"Z4B1929985"</f>
        <v>Z4B1929985</v>
      </c>
      <c r="D1522" t="str">
        <f>"04/11/2021"</f>
        <v>04/11/2021</v>
      </c>
      <c r="E1522" t="str">
        <f>""</f>
        <v/>
      </c>
      <c r="F1522" t="str">
        <f>""</f>
        <v/>
      </c>
      <c r="G1522" t="str">
        <f>"4680.00"</f>
        <v>4680.00</v>
      </c>
      <c r="H1522" t="str">
        <f>"Consorzio di bonifica Bacchiglione"</f>
        <v>Consorzio di bonifica Bacchiglione</v>
      </c>
      <c r="I1522" t="str">
        <f>"92223390284"</f>
        <v>92223390284</v>
      </c>
      <c r="J1522" t="str">
        <f>"23-AFFIDAMENTO DIRETTO"</f>
        <v>23-AFFIDAMENTO DIRETTO</v>
      </c>
      <c r="K1522" t="str">
        <f>"25/03/2021"</f>
        <v>25/03/2021</v>
      </c>
      <c r="L1522" t="str">
        <f>"06/12/2021"</f>
        <v>06/12/2021</v>
      </c>
      <c r="M1522" t="str">
        <f>""</f>
        <v/>
      </c>
      <c r="N1522" t="str">
        <f>"MATE Soc.Coop.va"</f>
        <v>MATE Soc.Coop.va</v>
      </c>
      <c r="O1522" t="str">
        <f>"MATE Soc.Coop.va"</f>
        <v>MATE Soc.Coop.va</v>
      </c>
      <c r="P1522" t="str">
        <f>"Z4B1929985: [4680.00€ ]"</f>
        <v>Z4B1929985: [4680.00€ ]</v>
      </c>
      <c r="Q1522" t="str">
        <f>""</f>
        <v/>
      </c>
      <c r="R1522" t="str">
        <f>""</f>
        <v/>
      </c>
      <c r="S1522" t="str">
        <f>""</f>
        <v/>
      </c>
      <c r="T1522" t="str">
        <f>"https://portaletrasparenza.consorziobacchiglione.it/dettagli/attodigara/275/incarico-professionale-di-service-tecnico-e-di-coordinatore-della-sicurezza-in-fase-di-progettazione-csp-ed-esecuzione-cse.html"</f>
        <v>https://portaletrasparenza.consorziobacchiglione.it/dettagli/attodigara/275/incarico-professionale-di-service-tecnico-e-di-coordinatore-della-sicurezza-in-fase-di-progettazione-csp-ed-esecuzione-cse.html</v>
      </c>
      <c r="U1522" t="str">
        <f>""</f>
        <v/>
      </c>
      <c r="V15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23" spans="1:22" x14ac:dyDescent="0.3">
      <c r="A1523" t="str">
        <f>"Affidamento"</f>
        <v>Affidamento</v>
      </c>
      <c r="B1523" t="str">
        <f>"Riparazione e manutenzione mezzo con targa: DA564ZE."</f>
        <v>Riparazione e manutenzione mezzo con targa: DA564ZE.</v>
      </c>
      <c r="C1523" t="str">
        <f>"Z17192925E"</f>
        <v>Z17192925E</v>
      </c>
      <c r="D1523" t="str">
        <f>"04/11/2021"</f>
        <v>04/11/2021</v>
      </c>
      <c r="E1523" t="str">
        <f>""</f>
        <v/>
      </c>
      <c r="F1523" t="str">
        <f>""</f>
        <v/>
      </c>
      <c r="G1523" t="str">
        <f>"2869.70"</f>
        <v>2869.70</v>
      </c>
      <c r="H1523" t="str">
        <f>"Consorzio di bonifica Bacchiglione"</f>
        <v>Consorzio di bonifica Bacchiglione</v>
      </c>
      <c r="I1523" t="str">
        <f>"92223390284"</f>
        <v>92223390284</v>
      </c>
      <c r="J1523" t="str">
        <f>"23-AFFIDAMENTO DIRETTO"</f>
        <v>23-AFFIDAMENTO DIRETTO</v>
      </c>
      <c r="K1523" t="str">
        <f>"25/03/2021"</f>
        <v>25/03/2021</v>
      </c>
      <c r="L1523" t="str">
        <f>"03/05/2021"</f>
        <v>03/05/2021</v>
      </c>
      <c r="M1523" t="str">
        <f>""</f>
        <v/>
      </c>
      <c r="N1523" t="str">
        <f>"Mardegan F.lli s.n.c. Via Argine Destro 13A 35020 Brenta di Correzzola PD"</f>
        <v>Mardegan F.lli s.n.c. Via Argine Destro 13A 35020 Brenta di Correzzola PD</v>
      </c>
      <c r="O1523" t="str">
        <f>"Mardegan F.lli s.n.c. Via Argine Destro 13A 35020 Brenta di Correzzola PD"</f>
        <v>Mardegan F.lli s.n.c. Via Argine Destro 13A 35020 Brenta di Correzzola PD</v>
      </c>
      <c r="P1523" t="str">
        <f>"Z17192925E: [2869.70€ ]"</f>
        <v>Z17192925E: [2869.70€ ]</v>
      </c>
      <c r="Q1523" t="str">
        <f>""</f>
        <v/>
      </c>
      <c r="R1523" t="str">
        <f>""</f>
        <v/>
      </c>
      <c r="S1523" t="str">
        <f>""</f>
        <v/>
      </c>
      <c r="T1523" t="str">
        <f>"https://portaletrasparenza.consorziobacchiglione.it/dettagli/attodigara/274/riparazione-e-manutenzione-mezzo-con-targa-da564ze.html"</f>
        <v>https://portaletrasparenza.consorziobacchiglione.it/dettagli/attodigara/274/riparazione-e-manutenzione-mezzo-con-targa-da564ze.html</v>
      </c>
      <c r="U1523" t="str">
        <f>""</f>
        <v/>
      </c>
      <c r="V15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24" spans="1:22" x14ac:dyDescent="0.3">
      <c r="A1524" t="str">
        <f>"Affidamento"</f>
        <v>Affidamento</v>
      </c>
      <c r="B1524" t="str">
        <f>"Manutenzione e riparazione braccio con decespugliatore su mezzo con targa: AHH573."</f>
        <v>Manutenzione e riparazione braccio con decespugliatore su mezzo con targa: AHH573.</v>
      </c>
      <c r="C1524" t="str">
        <f>"Z0E19291E7"</f>
        <v>Z0E19291E7</v>
      </c>
      <c r="D1524" t="str">
        <f>"04/11/2021"</f>
        <v>04/11/2021</v>
      </c>
      <c r="E1524" t="str">
        <f>""</f>
        <v/>
      </c>
      <c r="F1524" t="str">
        <f>""</f>
        <v/>
      </c>
      <c r="G1524" t="str">
        <f>"4958.55"</f>
        <v>4958.55</v>
      </c>
      <c r="H1524" t="str">
        <f>"Consorzio di bonifica Bacchiglione"</f>
        <v>Consorzio di bonifica Bacchiglione</v>
      </c>
      <c r="I1524" t="str">
        <f>"92223390284"</f>
        <v>92223390284</v>
      </c>
      <c r="J1524" t="str">
        <f>"23-AFFIDAMENTO DIRETTO"</f>
        <v>23-AFFIDAMENTO DIRETTO</v>
      </c>
      <c r="K1524" t="str">
        <f>"25/03/2021"</f>
        <v>25/03/2021</v>
      </c>
      <c r="L1524" t="str">
        <f>"26/05/2021"</f>
        <v>26/05/2021</v>
      </c>
      <c r="M1524" t="str">
        <f>""</f>
        <v/>
      </c>
      <c r="N1524" t="str">
        <f>"Hymach s.r.l. Viale del Commercio 73 45039 Stienta RO"</f>
        <v>Hymach s.r.l. Viale del Commercio 73 45039 Stienta RO</v>
      </c>
      <c r="O1524" t="str">
        <f>"Hymach s.r.l. Viale del Commercio 73 45039 Stienta RO"</f>
        <v>Hymach s.r.l. Viale del Commercio 73 45039 Stienta RO</v>
      </c>
      <c r="P1524" t="str">
        <f>"Z0E19291E7: [4958.55€ ]"</f>
        <v>Z0E19291E7: [4958.55€ ]</v>
      </c>
      <c r="Q1524" t="str">
        <f>""</f>
        <v/>
      </c>
      <c r="R1524" t="str">
        <f>""</f>
        <v/>
      </c>
      <c r="S1524" t="str">
        <f>""</f>
        <v/>
      </c>
      <c r="T1524" t="str">
        <f>"https://portaletrasparenza.consorziobacchiglione.it/dettagli/attodigara/273/manutenzione-e-riparazione-braccio-con-decespugliatore-su-mezzo-con-targa-ahh573.html"</f>
        <v>https://portaletrasparenza.consorziobacchiglione.it/dettagli/attodigara/273/manutenzione-e-riparazione-braccio-con-decespugliatore-su-mezzo-con-targa-ahh573.html</v>
      </c>
      <c r="U1524" t="str">
        <f>""</f>
        <v/>
      </c>
      <c r="V15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25" spans="1:22" x14ac:dyDescent="0.3">
      <c r="A1525" t="str">
        <f>"Affidamento"</f>
        <v>Affidamento</v>
      </c>
      <c r="B1525" t="str">
        <f>"Prestazioni professionali per presentazione denuncia Scia e dimensionamento opere strutturali Sede Consorziale."</f>
        <v>Prestazioni professionali per presentazione denuncia Scia e dimensionamento opere strutturali Sede Consorziale.</v>
      </c>
      <c r="C1525" t="str">
        <f>"Z29192905B"</f>
        <v>Z29192905B</v>
      </c>
      <c r="D1525" t="str">
        <f>"04/11/2021"</f>
        <v>04/11/2021</v>
      </c>
      <c r="E1525" t="str">
        <f>""</f>
        <v/>
      </c>
      <c r="F1525" t="str">
        <f>""</f>
        <v/>
      </c>
      <c r="G1525" t="str">
        <f>"1312.50"</f>
        <v>1312.50</v>
      </c>
      <c r="H1525" t="str">
        <f>"Consorzio di bonifica Bacchiglione"</f>
        <v>Consorzio di bonifica Bacchiglione</v>
      </c>
      <c r="I1525" t="str">
        <f>"92223390284"</f>
        <v>92223390284</v>
      </c>
      <c r="J1525" t="str">
        <f>"23-AFFIDAMENTO DIRETTO"</f>
        <v>23-AFFIDAMENTO DIRETTO</v>
      </c>
      <c r="K1525" t="str">
        <f>"25/03/2021"</f>
        <v>25/03/2021</v>
      </c>
      <c r="L1525" t="str">
        <f>"09/06/2021"</f>
        <v>09/06/2021</v>
      </c>
      <c r="M1525" t="str">
        <f>""</f>
        <v/>
      </c>
      <c r="N1525" t="str">
        <f>"Geometra Luca Boccon Via Dante 4D 35020 Casalserugo PD"</f>
        <v>Geometra Luca Boccon Via Dante 4D 35020 Casalserugo PD</v>
      </c>
      <c r="O1525" t="str">
        <f>"Geometra Luca Boccon Via Dante 4D 35020 Casalserugo PD"</f>
        <v>Geometra Luca Boccon Via Dante 4D 35020 Casalserugo PD</v>
      </c>
      <c r="P1525" t="str">
        <f>"Z29192905B: [1312.50€ ]"</f>
        <v>Z29192905B: [1312.50€ ]</v>
      </c>
      <c r="Q1525" t="str">
        <f>""</f>
        <v/>
      </c>
      <c r="R1525" t="str">
        <f>""</f>
        <v/>
      </c>
      <c r="S1525" t="str">
        <f>""</f>
        <v/>
      </c>
      <c r="T1525" t="str">
        <f>"https://portaletrasparenza.consorziobacchiglione.it/dettagli/attodigara/272/prestazioni-professionali-per-presentazione-denuncia-scia-e-dimensionamento-opere-strutturali-sede-consorziale.html"</f>
        <v>https://portaletrasparenza.consorziobacchiglione.it/dettagli/attodigara/272/prestazioni-professionali-per-presentazione-denuncia-scia-e-dimensionamento-opere-strutturali-sede-consorziale.html</v>
      </c>
      <c r="U1525" t="str">
        <f>""</f>
        <v/>
      </c>
      <c r="V15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26" spans="1:22" x14ac:dyDescent="0.3">
      <c r="A1526" t="str">
        <f>"Affidamento"</f>
        <v>Affidamento</v>
      </c>
      <c r="B1526" t="str">
        <f>"Progettazione strutturale platea di fondazione di un gruppo elettrogeno da installare presso l'impianto idrovoro \'Madonnetta\' a Cartura\'. - Processo ID 012-11."</f>
        <v>Progettazione strutturale platea di fondazione di un gruppo elettrogeno da installare presso l'impianto idrovoro \'Madonnetta\' a Cartura\'. - Processo ID 012-11.</v>
      </c>
      <c r="C1526" t="str">
        <f>"Z2E19295A0"</f>
        <v>Z2E19295A0</v>
      </c>
      <c r="D1526" t="str">
        <f>"04/11/2021"</f>
        <v>04/11/2021</v>
      </c>
      <c r="E1526" t="str">
        <f>""</f>
        <v/>
      </c>
      <c r="F1526" t="str">
        <f>""</f>
        <v/>
      </c>
      <c r="G1526" t="str">
        <f>"416.00"</f>
        <v>416.00</v>
      </c>
      <c r="H1526" t="str">
        <f>"Consorzio di bonifica Bacchiglione"</f>
        <v>Consorzio di bonifica Bacchiglione</v>
      </c>
      <c r="I1526" t="str">
        <f>"92223390284"</f>
        <v>92223390284</v>
      </c>
      <c r="J1526" t="str">
        <f>"23-AFFIDAMENTO DIRETTO"</f>
        <v>23-AFFIDAMENTO DIRETTO</v>
      </c>
      <c r="K1526" t="str">
        <f>"25/03/2021"</f>
        <v>25/03/2021</v>
      </c>
      <c r="L1526" t="str">
        <f>"08/07/2021"</f>
        <v>08/07/2021</v>
      </c>
      <c r="M1526" t="str">
        <f>""</f>
        <v/>
      </c>
      <c r="N1526" t="str">
        <f>"SIST - Studio di Ingegneria Strutturale Organte E Bortot"</f>
        <v>SIST - Studio di Ingegneria Strutturale Organte E Bortot</v>
      </c>
      <c r="O1526" t="str">
        <f>"SIST - Studio di Ingegneria Strutturale Organte E Bortot"</f>
        <v>SIST - Studio di Ingegneria Strutturale Organte E Bortot</v>
      </c>
      <c r="P1526" t="str">
        <f>"Z2E19295A0: [416.00€ ]"</f>
        <v>Z2E19295A0: [416.00€ ]</v>
      </c>
      <c r="Q1526" t="str">
        <f>""</f>
        <v/>
      </c>
      <c r="R1526" t="str">
        <f>""</f>
        <v/>
      </c>
      <c r="S1526" t="str">
        <f>""</f>
        <v/>
      </c>
      <c r="T1526" t="str">
        <f>"https://portaletrasparenza.consorziobacchiglione.it/dettagli/attodigara/271/progettazione-strutturale-platea-di-fondazione-di-un-gruppo-elettrogeno-da-installare-presso-l-impianto-idrovoro-madonnetta-a-cartura-processo-id-012-11.html"</f>
        <v>https://portaletrasparenza.consorziobacchiglione.it/dettagli/attodigara/271/progettazione-strutturale-platea-di-fondazione-di-un-gruppo-elettrogeno-da-installare-presso-l-impianto-idrovoro-madonnetta-a-cartura-processo-id-012-11.html</v>
      </c>
      <c r="U1526" t="str">
        <f>""</f>
        <v/>
      </c>
      <c r="V15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27" spans="1:22" x14ac:dyDescent="0.3">
      <c r="A1527" t="str">
        <f>"Affidamento"</f>
        <v>Affidamento</v>
      </c>
      <c r="B1527" t="str">
        <f>"Lavoro di taglio piante e raccolta ramaglie presso scolo Altipiano"</f>
        <v>Lavoro di taglio piante e raccolta ramaglie presso scolo Altipiano</v>
      </c>
      <c r="C1527" t="str">
        <f>"Z2D3125B44"</f>
        <v>Z2D3125B44</v>
      </c>
      <c r="D1527" t="str">
        <f>"25/03/2021"</f>
        <v>25/03/2021</v>
      </c>
      <c r="E1527" t="str">
        <f>""</f>
        <v/>
      </c>
      <c r="F1527" t="str">
        <f>""</f>
        <v/>
      </c>
      <c r="G1527" t="str">
        <f>"1250.00"</f>
        <v>1250.00</v>
      </c>
      <c r="H1527" t="str">
        <f>"Consorzio di bonifica Bacchiglione"</f>
        <v>Consorzio di bonifica Bacchiglione</v>
      </c>
      <c r="I1527" t="str">
        <f>"92223390284"</f>
        <v>92223390284</v>
      </c>
      <c r="J1527" t="str">
        <f>"23-AFFIDAMENTO DIRETTO"</f>
        <v>23-AFFIDAMENTO DIRETTO</v>
      </c>
      <c r="K1527" t="str">
        <f>"25/03/2021"</f>
        <v>25/03/2021</v>
      </c>
      <c r="L1527" t="str">
        <f>"29/04/2021"</f>
        <v>29/04/2021</v>
      </c>
      <c r="M1527" t="str">
        <f>""</f>
        <v/>
      </c>
      <c r="N1527" t="str">
        <f>"Vivai F.lli Berti via S.Martino 46 Cervarese S.Croce PD"</f>
        <v>Vivai F.lli Berti via S.Martino 46 Cervarese S.Croce PD</v>
      </c>
      <c r="O1527" t="str">
        <f>"Vivai F.lli Berti via S.Martino 46 Cervarese S.Croce PD"</f>
        <v>Vivai F.lli Berti via S.Martino 46 Cervarese S.Croce PD</v>
      </c>
      <c r="P1527" t="str">
        <f>"Z2D3125B44: [1250.00€ ]"</f>
        <v>Z2D3125B44: [1250.00€ ]</v>
      </c>
      <c r="Q1527" t="str">
        <f>""</f>
        <v/>
      </c>
      <c r="R1527" t="str">
        <f>""</f>
        <v/>
      </c>
      <c r="S1527" t="str">
        <f>""</f>
        <v/>
      </c>
      <c r="T1527" t="str">
        <f>"https://portaletrasparenza.consorziobacchiglione.it/dettagli/attodigara/6738/lavoro-di-taglio-piante-e-raccolta-ramaglie-presso-scolo-altipiano.html"</f>
        <v>https://portaletrasparenza.consorziobacchiglione.it/dettagli/attodigara/6738/lavoro-di-taglio-piante-e-raccolta-ramaglie-presso-scolo-altipiano.html</v>
      </c>
      <c r="U1527" t="str">
        <f>"https://portaletrasparenza.consorziobacchiglione.it/download/attodigara/6738/63ac4572ad260.PDF"</f>
        <v>https://portaletrasparenza.consorziobacchiglione.it/download/attodigara/6738/63ac4572ad260.PDF</v>
      </c>
      <c r="V152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28" spans="1:22" x14ac:dyDescent="0.3">
      <c r="A1528" t="str">
        <f>"Affidamento"</f>
        <v>Affidamento</v>
      </c>
      <c r="B1528" t="str">
        <f>"Fornitura pali in Castagno con punta lunghi MT 2, MT 2,5, MT 3 per Bacino Sesta Presa, Pratiarcati e Montà Portello"</f>
        <v>Fornitura pali in Castagno con punta lunghi MT 2, MT 2,5, MT 3 per Bacino Sesta Presa, Pratiarcati e Montà Portello</v>
      </c>
      <c r="C1528" t="str">
        <f>"Z22312584D"</f>
        <v>Z22312584D</v>
      </c>
      <c r="D1528" t="str">
        <f>"25/03/2021"</f>
        <v>25/03/2021</v>
      </c>
      <c r="E1528" t="str">
        <f>""</f>
        <v/>
      </c>
      <c r="F1528" t="str">
        <f>""</f>
        <v/>
      </c>
      <c r="G1528" t="str">
        <f>"7993.50"</f>
        <v>7993.50</v>
      </c>
      <c r="H1528" t="str">
        <f>"Consorzio di bonifica Bacchiglione"</f>
        <v>Consorzio di bonifica Bacchiglione</v>
      </c>
      <c r="I1528" t="str">
        <f>"92223390284"</f>
        <v>92223390284</v>
      </c>
      <c r="J1528" t="str">
        <f>"23-AFFIDAMENTO DIRETTO"</f>
        <v>23-AFFIDAMENTO DIRETTO</v>
      </c>
      <c r="K1528" t="str">
        <f>"25/03/2021"</f>
        <v>25/03/2021</v>
      </c>
      <c r="L1528" t="str">
        <f>"31/03/2021"</f>
        <v>31/03/2021</v>
      </c>
      <c r="M1528" t="str">
        <f>""</f>
        <v/>
      </c>
      <c r="N1528" t="str">
        <f>"Rinaldi Combustibili s.n.c. Via Repoise 2 35030 Cervarese Santa Croce PD"</f>
        <v>Rinaldi Combustibili s.n.c. Via Repoise 2 35030 Cervarese Santa Croce PD</v>
      </c>
      <c r="O1528" t="str">
        <f>"Rinaldi Combustibili s.n.c. Via Repoise 2 35030 Cervarese Santa Croce PD"</f>
        <v>Rinaldi Combustibili s.n.c. Via Repoise 2 35030 Cervarese Santa Croce PD</v>
      </c>
      <c r="P1528" t="str">
        <f>"Z22312584D: [7993.50€ ]"</f>
        <v>Z22312584D: [7993.50€ ]</v>
      </c>
      <c r="Q1528" t="str">
        <f>""</f>
        <v/>
      </c>
      <c r="R1528" t="str">
        <f>""</f>
        <v/>
      </c>
      <c r="S1528" t="str">
        <f>""</f>
        <v/>
      </c>
      <c r="T1528" t="str">
        <f>"https://portaletrasparenza.consorziobacchiglione.it/dettagli/attodigara/6737/fornitura-pali-in-castagno-con-punta-lunghi-mt-2-mt-2-5-mt-3-per-bacino-sesta-presa-pratiarcati-e-monta-portello.html"</f>
        <v>https://portaletrasparenza.consorziobacchiglione.it/dettagli/attodigara/6737/fornitura-pali-in-castagno-con-punta-lunghi-mt-2-mt-2-5-mt-3-per-bacino-sesta-presa-pratiarcati-e-monta-portello.html</v>
      </c>
      <c r="U1528" t="str">
        <f>"https://portaletrasparenza.consorziobacchiglione.it/download/attodigara/6737/63ac457274771.PDF"</f>
        <v>https://portaletrasparenza.consorziobacchiglione.it/download/attodigara/6737/63ac457274771.PDF</v>
      </c>
      <c r="V15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29" spans="1:22" x14ac:dyDescent="0.3">
      <c r="A1529" t="str">
        <f>"Affidamento"</f>
        <v>Affidamento</v>
      </c>
      <c r="B1529" t="str">
        <f>"Tagliando completo del mezzo targato: FN454KT"</f>
        <v>Tagliando completo del mezzo targato: FN454KT</v>
      </c>
      <c r="C1529" t="str">
        <f>"Z1731242B5"</f>
        <v>Z1731242B5</v>
      </c>
      <c r="D1529" t="str">
        <f>"25/03/2021"</f>
        <v>25/03/2021</v>
      </c>
      <c r="E1529" t="str">
        <f>""</f>
        <v/>
      </c>
      <c r="F1529" t="str">
        <f>""</f>
        <v/>
      </c>
      <c r="G1529" t="str">
        <f>"242.00"</f>
        <v>242.00</v>
      </c>
      <c r="H1529" t="str">
        <f>"Consorzio di bonifica Bacchiglione"</f>
        <v>Consorzio di bonifica Bacchiglione</v>
      </c>
      <c r="I1529" t="str">
        <f>"92223390284"</f>
        <v>92223390284</v>
      </c>
      <c r="J1529" t="str">
        <f>"23-AFFIDAMENTO DIRETTO"</f>
        <v>23-AFFIDAMENTO DIRETTO</v>
      </c>
      <c r="K1529" t="str">
        <f>"25/03/2021"</f>
        <v>25/03/2021</v>
      </c>
      <c r="L1529" t="str">
        <f>"07/04/2021"</f>
        <v>07/04/2021</v>
      </c>
      <c r="M1529" t="str">
        <f>""</f>
        <v/>
      </c>
      <c r="N1529" t="str">
        <f>"Autofficina Gobbato Gianluca via Vivaldi 40A 35028 Piove di sacco PD"</f>
        <v>Autofficina Gobbato Gianluca via Vivaldi 40A 35028 Piove di sacco PD</v>
      </c>
      <c r="O1529" t="str">
        <f>"Autofficina Gobbato Gianluca via Vivaldi 40A 35028 Piove di sacco PD"</f>
        <v>Autofficina Gobbato Gianluca via Vivaldi 40A 35028 Piove di sacco PD</v>
      </c>
      <c r="P1529" t="str">
        <f>"Z1731242B5: [242.00€ ]"</f>
        <v>Z1731242B5: [242.00€ ]</v>
      </c>
      <c r="Q1529" t="str">
        <f>""</f>
        <v/>
      </c>
      <c r="R1529" t="str">
        <f>""</f>
        <v/>
      </c>
      <c r="S1529" t="str">
        <f>""</f>
        <v/>
      </c>
      <c r="T1529" t="str">
        <f>"https://portaletrasparenza.consorziobacchiglione.it/dettagli/attodigara/6736/tagliando-completo-del-mezzo-targato-fn454kt.html"</f>
        <v>https://portaletrasparenza.consorziobacchiglione.it/dettagli/attodigara/6736/tagliando-completo-del-mezzo-targato-fn454kt.html</v>
      </c>
      <c r="U1529" t="str">
        <f>"https://portaletrasparenza.consorziobacchiglione.it/download/attodigara/6736/63ac45723c0f0.PDF"</f>
        <v>https://portaletrasparenza.consorziobacchiglione.it/download/attodigara/6736/63ac45723c0f0.PDF</v>
      </c>
      <c r="V15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30" spans="1:22" x14ac:dyDescent="0.3">
      <c r="A1530" t="str">
        <f>"Affidamento"</f>
        <v>Affidamento</v>
      </c>
      <c r="B1530" t="str">
        <f>"Manutenzione totale benna da sfalcio Herder presso mezzo targato: AKA712"</f>
        <v>Manutenzione totale benna da sfalcio Herder presso mezzo targato: AKA712</v>
      </c>
      <c r="C1530" t="str">
        <f>"ZD53123FFE"</f>
        <v>ZD53123FFE</v>
      </c>
      <c r="D1530" t="str">
        <f>"25/03/2021"</f>
        <v>25/03/2021</v>
      </c>
      <c r="E1530" t="str">
        <f>""</f>
        <v/>
      </c>
      <c r="F1530" t="str">
        <f>""</f>
        <v/>
      </c>
      <c r="G1530" t="str">
        <f>"3724.31"</f>
        <v>3724.31</v>
      </c>
      <c r="H1530" t="str">
        <f>"Consorzio di bonifica Bacchiglione"</f>
        <v>Consorzio di bonifica Bacchiglione</v>
      </c>
      <c r="I1530" t="str">
        <f>"92223390284"</f>
        <v>92223390284</v>
      </c>
      <c r="J1530" t="str">
        <f>"23-AFFIDAMENTO DIRETTO"</f>
        <v>23-AFFIDAMENTO DIRETTO</v>
      </c>
      <c r="K1530" t="str">
        <f>"25/03/2021"</f>
        <v>25/03/2021</v>
      </c>
      <c r="L1530" t="str">
        <f>"23/06/2021"</f>
        <v>23/06/2021</v>
      </c>
      <c r="M1530" t="str">
        <f>""</f>
        <v/>
      </c>
      <c r="N1530" t="str">
        <f>"Adriatica Commerciale Macchine s.r.l. Via dell'Artigianato 5 35020 Due Carrare PD"</f>
        <v>Adriatica Commerciale Macchine s.r.l. Via dell'Artigianato 5 35020 Due Carrare PD</v>
      </c>
      <c r="O1530" t="str">
        <f>"Adriatica Commerciale Macchine s.r.l. Via dell'Artigianato 5 35020 Due Carrare PD"</f>
        <v>Adriatica Commerciale Macchine s.r.l. Via dell'Artigianato 5 35020 Due Carrare PD</v>
      </c>
      <c r="P1530" t="str">
        <f>"ZD53123FFE: [3724.31€ ]"</f>
        <v>ZD53123FFE: [3724.31€ ]</v>
      </c>
      <c r="Q1530" t="str">
        <f>""</f>
        <v/>
      </c>
      <c r="R1530" t="str">
        <f>""</f>
        <v/>
      </c>
      <c r="S1530" t="str">
        <f>""</f>
        <v/>
      </c>
      <c r="T1530" t="str">
        <f>"https://portaletrasparenza.consorziobacchiglione.it/dettagli/attodigara/6735/manutenzione-totale-benna-da-sfalcio-herder-presso-mezzo-targato-aka712.html"</f>
        <v>https://portaletrasparenza.consorziobacchiglione.it/dettagli/attodigara/6735/manutenzione-totale-benna-da-sfalcio-herder-presso-mezzo-targato-aka712.html</v>
      </c>
      <c r="U1530" t="str">
        <f>"https://portaletrasparenza.consorziobacchiglione.it/download/attodigara/6735/63ac457203b40.PDF"</f>
        <v>https://portaletrasparenza.consorziobacchiglione.it/download/attodigara/6735/63ac457203b40.PDF</v>
      </c>
      <c r="V15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31" spans="1:22" x14ac:dyDescent="0.3">
      <c r="A1531" t="str">
        <f>"Affidamento"</f>
        <v>Affidamento</v>
      </c>
      <c r="B1531" t="str">
        <f>"Manutenzione e riparazione distributore elettroidraulico del mezzo targato: AGK711"</f>
        <v>Manutenzione e riparazione distributore elettroidraulico del mezzo targato: AGK711</v>
      </c>
      <c r="C1531" t="str">
        <f>"Z233122691"</f>
        <v>Z233122691</v>
      </c>
      <c r="D1531" t="str">
        <f>"25/03/2021"</f>
        <v>25/03/2021</v>
      </c>
      <c r="E1531" t="str">
        <f>""</f>
        <v/>
      </c>
      <c r="F1531" t="str">
        <f>""</f>
        <v/>
      </c>
      <c r="G1531" t="str">
        <f>"152.00"</f>
        <v>152.00</v>
      </c>
      <c r="H1531" t="str">
        <f>"Consorzio di bonifica Bacchiglione"</f>
        <v>Consorzio di bonifica Bacchiglione</v>
      </c>
      <c r="I1531" t="str">
        <f>"92223390284"</f>
        <v>92223390284</v>
      </c>
      <c r="J1531" t="str">
        <f>"23-AFFIDAMENTO DIRETTO"</f>
        <v>23-AFFIDAMENTO DIRETTO</v>
      </c>
      <c r="K1531" t="str">
        <f>"25/03/2021"</f>
        <v>25/03/2021</v>
      </c>
      <c r="L1531" t="str">
        <f>"02/04/2021"</f>
        <v>02/04/2021</v>
      </c>
      <c r="M1531" t="str">
        <f>""</f>
        <v/>
      </c>
      <c r="N1531" t="str">
        <f>"Officina Biesse S.n.c. Via Matteotti 24 35020 Arzergrande PD"</f>
        <v>Officina Biesse S.n.c. Via Matteotti 24 35020 Arzergrande PD</v>
      </c>
      <c r="O1531" t="str">
        <f>"Officina Biesse S.n.c. Via Matteotti 24 35020 Arzergrande PD"</f>
        <v>Officina Biesse S.n.c. Via Matteotti 24 35020 Arzergrande PD</v>
      </c>
      <c r="P1531" t="str">
        <f>"Z233122691: [152.00€ ]"</f>
        <v>Z233122691: [152.00€ ]</v>
      </c>
      <c r="Q1531" t="str">
        <f>""</f>
        <v/>
      </c>
      <c r="R1531" t="str">
        <f>""</f>
        <v/>
      </c>
      <c r="S1531" t="str">
        <f>""</f>
        <v/>
      </c>
      <c r="T1531" t="str">
        <f>"https://portaletrasparenza.consorziobacchiglione.it/dettagli/attodigara/6734/manutenzione-e-riparazione-distributore-elettroidraulico-del-mezzo-targato-agk711.html"</f>
        <v>https://portaletrasparenza.consorziobacchiglione.it/dettagli/attodigara/6734/manutenzione-e-riparazione-distributore-elettroidraulico-del-mezzo-targato-agk711.html</v>
      </c>
      <c r="U1531" t="str">
        <f>"https://portaletrasparenza.consorziobacchiglione.it/download/attodigara/6734/63ac4571befbf.PDF"</f>
        <v>https://portaletrasparenza.consorziobacchiglione.it/download/attodigara/6734/63ac4571befbf.PDF</v>
      </c>
      <c r="V15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32" spans="1:22" x14ac:dyDescent="0.3">
      <c r="A1532" t="str">
        <f>"Affidamento"</f>
        <v>Affidamento</v>
      </c>
      <c r="B1532" t="str">
        <f>"Tagliando completo più sistemazione impianto elettrico del mezzo targato: AKS633"</f>
        <v>Tagliando completo più sistemazione impianto elettrico del mezzo targato: AKS633</v>
      </c>
      <c r="C1532" t="str">
        <f>"ZE2312251A"</f>
        <v>ZE2312251A</v>
      </c>
      <c r="D1532" t="str">
        <f>"25/03/2021"</f>
        <v>25/03/2021</v>
      </c>
      <c r="E1532" t="str">
        <f>""</f>
        <v/>
      </c>
      <c r="F1532" t="str">
        <f>""</f>
        <v/>
      </c>
      <c r="G1532" t="str">
        <f>"1608.97"</f>
        <v>1608.97</v>
      </c>
      <c r="H1532" t="str">
        <f>"Consorzio di bonifica Bacchiglione"</f>
        <v>Consorzio di bonifica Bacchiglione</v>
      </c>
      <c r="I1532" t="str">
        <f>"92223390284"</f>
        <v>92223390284</v>
      </c>
      <c r="J1532" t="str">
        <f>"23-AFFIDAMENTO DIRETTO"</f>
        <v>23-AFFIDAMENTO DIRETTO</v>
      </c>
      <c r="K1532" t="str">
        <f>"25/03/2021"</f>
        <v>25/03/2021</v>
      </c>
      <c r="L1532" t="str">
        <f>"29/07/2022"</f>
        <v>29/07/2022</v>
      </c>
      <c r="M1532" t="str">
        <f>""</f>
        <v/>
      </c>
      <c r="N1532" t="str">
        <f>"Gaiani Rino SAS di Gaiani Annalisa E C.Via Antoniana 102 35011 Campodarsego PD"</f>
        <v>Gaiani Rino SAS di Gaiani Annalisa E C.Via Antoniana 102 35011 Campodarsego PD</v>
      </c>
      <c r="O1532" t="str">
        <f>"Gaiani Rino SAS di Gaiani Annalisa E C.Via Antoniana 102 35011 Campodarsego PD"</f>
        <v>Gaiani Rino SAS di Gaiani Annalisa E C.Via Antoniana 102 35011 Campodarsego PD</v>
      </c>
      <c r="P1532" t="str">
        <f>"ZE2312251A: [1608.97€ ]"</f>
        <v>ZE2312251A: [1608.97€ ]</v>
      </c>
      <c r="Q1532" t="str">
        <f>""</f>
        <v/>
      </c>
      <c r="R1532" t="str">
        <f>""</f>
        <v/>
      </c>
      <c r="S1532" t="str">
        <f>""</f>
        <v/>
      </c>
      <c r="T1532" t="str">
        <f>"https://portaletrasparenza.consorziobacchiglione.it/dettagli/attodigara/6733/tagliando-completo-piu-sistemazione-impianto-elettrico-del-mezzo-targato-aks633.html"</f>
        <v>https://portaletrasparenza.consorziobacchiglione.it/dettagli/attodigara/6733/tagliando-completo-piu-sistemazione-impianto-elettrico-del-mezzo-targato-aks633.html</v>
      </c>
      <c r="U1532" t="str">
        <f>"https://portaletrasparenza.consorziobacchiglione.it/download/attodigara/6733/63ac4571865b1.PDF"</f>
        <v>https://portaletrasparenza.consorziobacchiglione.it/download/attodigara/6733/63ac4571865b1.PDF</v>
      </c>
      <c r="V15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33" spans="1:22" x14ac:dyDescent="0.3">
      <c r="A1533" t="str">
        <f>"Affidamento"</f>
        <v>Affidamento</v>
      </c>
      <c r="B1533" t="str">
        <f>"Fornitura di n.1000 mascherine chirurgiche 3 strati per personale esterno"</f>
        <v>Fornitura di n.1000 mascherine chirurgiche 3 strati per personale esterno</v>
      </c>
      <c r="C1533" t="str">
        <f>"Z1C31DDFDB"</f>
        <v>Z1C31DDFDB</v>
      </c>
      <c r="D1533" t="str">
        <f>"26/05/2021"</f>
        <v>26/05/2021</v>
      </c>
      <c r="E1533" t="str">
        <f>""</f>
        <v/>
      </c>
      <c r="F1533" t="str">
        <f>""</f>
        <v/>
      </c>
      <c r="G1533" t="str">
        <f>"120.00"</f>
        <v>120.00</v>
      </c>
      <c r="H1533" t="str">
        <f>"Consorzio di bonifica Bacchiglione"</f>
        <v>Consorzio di bonifica Bacchiglione</v>
      </c>
      <c r="I1533" t="str">
        <f>"92223390284"</f>
        <v>92223390284</v>
      </c>
      <c r="J1533" t="str">
        <f>"23-AFFIDAMENTO DIRETTO"</f>
        <v>23-AFFIDAMENTO DIRETTO</v>
      </c>
      <c r="K1533" t="str">
        <f>"25/05/2021"</f>
        <v>25/05/2021</v>
      </c>
      <c r="L1533" t="str">
        <f>"30/06/2021"</f>
        <v>30/06/2021</v>
      </c>
      <c r="M1533" t="str">
        <f>""</f>
        <v/>
      </c>
      <c r="N1533" t="str">
        <f>"Fip Articoli Tecnici S.r.l. Viale Regione Veneto 9 35127 Padova"</f>
        <v>Fip Articoli Tecnici S.r.l. Viale Regione Veneto 9 35127 Padova</v>
      </c>
      <c r="O1533" t="str">
        <f>"Fip Articoli Tecnici S.r.l. Viale Regione Veneto 9 35127 Padova"</f>
        <v>Fip Articoli Tecnici S.r.l. Viale Regione Veneto 9 35127 Padova</v>
      </c>
      <c r="P1533" t="str">
        <f>"Z1C31DDFDB: [120.00€ ]"</f>
        <v>Z1C31DDFDB: [120.00€ ]</v>
      </c>
      <c r="Q1533" t="str">
        <f>""</f>
        <v/>
      </c>
      <c r="R1533" t="str">
        <f>""</f>
        <v/>
      </c>
      <c r="S1533" t="str">
        <f>""</f>
        <v/>
      </c>
      <c r="T1533" t="str">
        <f>"https://portaletrasparenza.consorziobacchiglione.it/dettagli/attodigara/6903/fornitura-di-n-1000-mascherine-chirurgiche-3-strati-per-personale-esterno.html"</f>
        <v>https://portaletrasparenza.consorziobacchiglione.it/dettagli/attodigara/6903/fornitura-di-n-1000-mascherine-chirurgiche-3-strati-per-personale-esterno.html</v>
      </c>
      <c r="U1533" t="str">
        <f>"https://portaletrasparenza.consorziobacchiglione.it/download/attodigara/6903/63ac459172892.PDF"</f>
        <v>https://portaletrasparenza.consorziobacchiglione.it/download/attodigara/6903/63ac459172892.PDF</v>
      </c>
      <c r="V15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34" spans="1:22" x14ac:dyDescent="0.3">
      <c r="A1534" t="str">
        <f>"Affidamento"</f>
        <v>Affidamento</v>
      </c>
      <c r="B1534" t="str">
        <f>"SOMME IN DIRETTA AMM.NE: Lavori di pulizia dell alveo del canale di gronda lagunare nel tratto di arrivo all impianto idrovoro Bernio. - Processo ID 004-07."</f>
        <v>SOMME IN DIRETTA AMM.NE: Lavori di pulizia dell alveo del canale di gronda lagunare nel tratto di arrivo all impianto idrovoro Bernio. - Processo ID 004-07.</v>
      </c>
      <c r="C1534" t="str">
        <f>"Z9731DE1A2"</f>
        <v>Z9731DE1A2</v>
      </c>
      <c r="D1534" t="str">
        <f>"26/05/2021"</f>
        <v>26/05/2021</v>
      </c>
      <c r="E1534" t="str">
        <f>""</f>
        <v/>
      </c>
      <c r="F1534" t="str">
        <f>""</f>
        <v/>
      </c>
      <c r="G1534" t="str">
        <f>"19034.25"</f>
        <v>19034.25</v>
      </c>
      <c r="H1534" t="str">
        <f>"Consorzio di bonifica Bacchiglione"</f>
        <v>Consorzio di bonifica Bacchiglione</v>
      </c>
      <c r="I1534" t="str">
        <f>"92223390284"</f>
        <v>92223390284</v>
      </c>
      <c r="J1534" t="str">
        <f>"23-AFFIDAMENTO DIRETTO"</f>
        <v>23-AFFIDAMENTO DIRETTO</v>
      </c>
      <c r="K1534" t="str">
        <f>"25/05/2021"</f>
        <v>25/05/2021</v>
      </c>
      <c r="L1534" t="str">
        <f>"29/07/2021"</f>
        <v>29/07/2021</v>
      </c>
      <c r="M1534" t="str">
        <f>""</f>
        <v/>
      </c>
      <c r="N1534" t="str">
        <f>"VPS s.r.l. | Ferrara Vittorio s.r.l. | COLFOSCO SERVIZI S.R.L."</f>
        <v>VPS s.r.l. | Ferrara Vittorio s.r.l. | COLFOSCO SERVIZI S.R.L.</v>
      </c>
      <c r="O1534" t="str">
        <f>"Ferrara Vittorio s.r.l."</f>
        <v>Ferrara Vittorio s.r.l.</v>
      </c>
      <c r="P1534" t="str">
        <f>"Z9731DE1A2: [19034.25€ ]"</f>
        <v>Z9731DE1A2: [19034.25€ ]</v>
      </c>
      <c r="Q1534" t="str">
        <f>""</f>
        <v/>
      </c>
      <c r="R1534" t="str">
        <f>""</f>
        <v/>
      </c>
      <c r="S1534" t="str">
        <f>""</f>
        <v/>
      </c>
      <c r="T1534" t="str">
        <f>"https://portaletrasparenza.consorziobacchiglione.it/dettagli/attodigara/6902/somme-in-diretta-amm-ne-lavori-di-pulizia-dell-alveo-del-canale-di-gronda-lagunare-nel-tratto-di-arrivo-all-impianto-idrovoro-bernio-processo-id-004-07.html"</f>
        <v>https://portaletrasparenza.consorziobacchiglione.it/dettagli/attodigara/6902/somme-in-diretta-amm-ne-lavori-di-pulizia-dell-alveo-del-canale-di-gronda-lagunare-nel-tratto-di-arrivo-all-impianto-idrovoro-bernio-processo-id-004-07.html</v>
      </c>
      <c r="U1534" t="str">
        <f>"https://portaletrasparenza.consorziobacchiglione.it/download/attodigara/6902/63ac459078eea.PDF"</f>
        <v>https://portaletrasparenza.consorziobacchiglione.it/download/attodigara/6902/63ac459078eea.PDF</v>
      </c>
      <c r="V15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35" spans="1:22" x14ac:dyDescent="0.3">
      <c r="A1535" t="str">
        <f>"Affidamento"</f>
        <v>Affidamento</v>
      </c>
      <c r="B1535" t="str">
        <f>"Manutenzione e riparazione mezzi con targa: FN454KT, cingolato 900 e 904"</f>
        <v>Manutenzione e riparazione mezzi con targa: FN454KT, cingolato 900 e 904</v>
      </c>
      <c r="C1535" t="str">
        <f>"Z8631DE1F4"</f>
        <v>Z8631DE1F4</v>
      </c>
      <c r="D1535" t="str">
        <f>"26/05/2021"</f>
        <v>26/05/2021</v>
      </c>
      <c r="E1535" t="str">
        <f>""</f>
        <v/>
      </c>
      <c r="F1535" t="str">
        <f>""</f>
        <v/>
      </c>
      <c r="G1535" t="str">
        <f>"1034.00"</f>
        <v>1034.00</v>
      </c>
      <c r="H1535" t="str">
        <f>"Consorzio di bonifica Bacchiglione"</f>
        <v>Consorzio di bonifica Bacchiglione</v>
      </c>
      <c r="I1535" t="str">
        <f>"92223390284"</f>
        <v>92223390284</v>
      </c>
      <c r="J1535" t="str">
        <f>"23-AFFIDAMENTO DIRETTO"</f>
        <v>23-AFFIDAMENTO DIRETTO</v>
      </c>
      <c r="K1535" t="str">
        <f>"25/05/2021"</f>
        <v>25/05/2021</v>
      </c>
      <c r="L1535" t="str">
        <f>"31/12/2021"</f>
        <v>31/12/2021</v>
      </c>
      <c r="M1535" t="str">
        <f>""</f>
        <v/>
      </c>
      <c r="N1535" t="str">
        <f>"Vise Elettrocar Via Montagnon 61 35028 Tognana di Piove di Sacco PD"</f>
        <v>Vise Elettrocar Via Montagnon 61 35028 Tognana di Piove di Sacco PD</v>
      </c>
      <c r="O1535" t="str">
        <f>"Vise Elettrocar Via Montagnon 61 35028 Tognana di Piove di Sacco PD"</f>
        <v>Vise Elettrocar Via Montagnon 61 35028 Tognana di Piove di Sacco PD</v>
      </c>
      <c r="P1535" t="str">
        <f>"Z8631DE1F4: [0.00€ ]"</f>
        <v>Z8631DE1F4: [0.00€ ]</v>
      </c>
      <c r="Q1535" t="str">
        <f>""</f>
        <v/>
      </c>
      <c r="R1535" t="str">
        <f>""</f>
        <v/>
      </c>
      <c r="S1535" t="str">
        <f>""</f>
        <v/>
      </c>
      <c r="T1535" t="str">
        <f>"https://portaletrasparenza.consorziobacchiglione.it/dettagli/attodigara/6904/manutenzione-e-riparazione-mezzi-con-targa-fn454kt-cingolato-900-e-904.html"</f>
        <v>https://portaletrasparenza.consorziobacchiglione.it/dettagli/attodigara/6904/manutenzione-e-riparazione-mezzi-con-targa-fn454kt-cingolato-900-e-904.html</v>
      </c>
      <c r="U1535" t="str">
        <f>"https://portaletrasparenza.consorziobacchiglione.it/download/attodigara/6904/62a20a0ab43db.PDF"</f>
        <v>https://portaletrasparenza.consorziobacchiglione.it/download/attodigara/6904/62a20a0ab43db.PDF</v>
      </c>
      <c r="V1535">
        <f>(SUBSTITUTE(Tabella1[[#This Row],[Importo di aggiudicazione]],".",","))-(SUBSTITUTE(  SUBSTITUTE(          SUBSTITUTE(Tabella1[[#This Row],[Dettaglio somme liquidate]],Tabella1[[#This Row],[CIG]]&amp;": [",""),"€ ]",""),".",","))</f>
        <v>1034</v>
      </c>
    </row>
    <row r="1536" spans="1:22" x14ac:dyDescent="0.3">
      <c r="A1536" t="str">
        <f>"Affidamento"</f>
        <v>Affidamento</v>
      </c>
      <c r="B1536" t="str">
        <f>"Installazione cartelli in alluminio scatolato da posizionare presso Impianti Idrovori"</f>
        <v>Installazione cartelli in alluminio scatolato da posizionare presso Impianti Idrovori</v>
      </c>
      <c r="C1536" t="str">
        <f>"Z9B324180D"</f>
        <v>Z9B324180D</v>
      </c>
      <c r="D1536" t="str">
        <f>"06/07/2021"</f>
        <v>06/07/2021</v>
      </c>
      <c r="E1536" t="str">
        <f>""</f>
        <v/>
      </c>
      <c r="F1536" t="str">
        <f>""</f>
        <v/>
      </c>
      <c r="G1536" t="str">
        <f>"5950.00"</f>
        <v>5950.00</v>
      </c>
      <c r="H1536" t="str">
        <f>"Consorzio di bonifica Bacchiglione"</f>
        <v>Consorzio di bonifica Bacchiglione</v>
      </c>
      <c r="I1536" t="str">
        <f>"92223390284"</f>
        <v>92223390284</v>
      </c>
      <c r="J1536" t="str">
        <f>"23-AFFIDAMENTO DIRETTO"</f>
        <v>23-AFFIDAMENTO DIRETTO</v>
      </c>
      <c r="K1536" t="str">
        <f>"25/06/2021"</f>
        <v>25/06/2021</v>
      </c>
      <c r="L1536" t="str">
        <f>"30/09/2021"</f>
        <v>30/09/2021</v>
      </c>
      <c r="M1536" t="str">
        <f>""</f>
        <v/>
      </c>
      <c r="N1536" t="str">
        <f>"GraphicReport di Brigato A. e C. Via Terza Strada 16 Z.I. 35026 Conselve PD"</f>
        <v>GraphicReport di Brigato A. e C. Via Terza Strada 16 Z.I. 35026 Conselve PD</v>
      </c>
      <c r="O1536" t="str">
        <f>"GraphicReport di Brigato A. e C. Via Terza Strada 16 Z.I. 35026 Conselve PD"</f>
        <v>GraphicReport di Brigato A. e C. Via Terza Strada 16 Z.I. 35026 Conselve PD</v>
      </c>
      <c r="P1536" t="s">
        <v>181</v>
      </c>
      <c r="Q1536" t="str">
        <f>""</f>
        <v/>
      </c>
      <c r="R1536" t="str">
        <f>""</f>
        <v/>
      </c>
      <c r="S1536" t="str">
        <f>""</f>
        <v/>
      </c>
      <c r="T1536" t="str">
        <f>"https://portaletrasparenza.consorziobacchiglione.it/dettagli/attodigara/6979/installazione-cartelli-in-alluminio-scatolato-da-posizionare-presso-impianti-idrovori.html"</f>
        <v>https://portaletrasparenza.consorziobacchiglione.it/dettagli/attodigara/6979/installazione-cartelli-in-alluminio-scatolato-da-posizionare-presso-impianti-idrovori.html</v>
      </c>
      <c r="U1536" t="str">
        <f>"https://portaletrasparenza.consorziobacchiglione.it/download/attodigara/6979/63ac45a307f4a.PDF"</f>
        <v>https://portaletrasparenza.consorziobacchiglione.it/download/attodigara/6979/63ac45a307f4a.PDF</v>
      </c>
      <c r="V15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37" spans="1:22" x14ac:dyDescent="0.3">
      <c r="A1537" t="str">
        <f>"Affidamento"</f>
        <v>Affidamento</v>
      </c>
      <c r="B1537" t="str">
        <f>"Lavori di sistemazione attraversamento su Fosso Peraro e contestuale pulizia del fondo dello stesso"</f>
        <v>Lavori di sistemazione attraversamento su Fosso Peraro e contestuale pulizia del fondo dello stesso</v>
      </c>
      <c r="C1537" t="str">
        <f>"ZF732405B5"</f>
        <v>ZF732405B5</v>
      </c>
      <c r="D1537" t="str">
        <f>"06/07/2021"</f>
        <v>06/07/2021</v>
      </c>
      <c r="E1537" t="str">
        <f>""</f>
        <v/>
      </c>
      <c r="F1537" t="str">
        <f>""</f>
        <v/>
      </c>
      <c r="G1537" t="str">
        <f>"2400.00"</f>
        <v>2400.00</v>
      </c>
      <c r="H1537" t="str">
        <f>"Consorzio di bonifica Bacchiglione"</f>
        <v>Consorzio di bonifica Bacchiglione</v>
      </c>
      <c r="I1537" t="str">
        <f>"92223390284"</f>
        <v>92223390284</v>
      </c>
      <c r="J1537" t="str">
        <f>"23-AFFIDAMENTO DIRETTO"</f>
        <v>23-AFFIDAMENTO DIRETTO</v>
      </c>
      <c r="K1537" t="str">
        <f>"25/06/2021"</f>
        <v>25/06/2021</v>
      </c>
      <c r="L1537" t="str">
        <f>"22/07/2021"</f>
        <v>22/07/2021</v>
      </c>
      <c r="M1537" t="str">
        <f>""</f>
        <v/>
      </c>
      <c r="N1537" t="str">
        <f>"Edilvi SAS di Viel Dario, Viel Denis E C. Via Idrovora, 4 - 35020 Codevigo (PD)"</f>
        <v>Edilvi SAS di Viel Dario, Viel Denis E C. Via Idrovora, 4 - 35020 Codevigo (PD)</v>
      </c>
      <c r="O1537" t="str">
        <f>"Edilvi SAS di Viel Dario, Viel Denis E C. Via Idrovora, 4 - 35020 Codevigo (PD)"</f>
        <v>Edilvi SAS di Viel Dario, Viel Denis E C. Via Idrovora, 4 - 35020 Codevigo (PD)</v>
      </c>
      <c r="P1537" t="str">
        <f>"ZF732405B5: [2400.00€ ]"</f>
        <v>ZF732405B5: [2400.00€ ]</v>
      </c>
      <c r="Q1537" t="str">
        <f>""</f>
        <v/>
      </c>
      <c r="R1537" t="str">
        <f>""</f>
        <v/>
      </c>
      <c r="S1537" t="str">
        <f>""</f>
        <v/>
      </c>
      <c r="T1537" t="str">
        <f>"https://portaletrasparenza.consorziobacchiglione.it/dettagli/attodigara/6977/lavori-di-sistemazione-attraversamento-su-fosso-peraro-e-contestuale-pulizia-del-fondo-dello-stesso.html"</f>
        <v>https://portaletrasparenza.consorziobacchiglione.it/dettagli/attodigara/6977/lavori-di-sistemazione-attraversamento-su-fosso-peraro-e-contestuale-pulizia-del-fondo-dello-stesso.html</v>
      </c>
      <c r="U1537" t="str">
        <f>"https://portaletrasparenza.consorziobacchiglione.it/download/attodigara/6977/63ac45a2c34f8.PDF"</f>
        <v>https://portaletrasparenza.consorziobacchiglione.it/download/attodigara/6977/63ac45a2c34f8.PDF</v>
      </c>
      <c r="V153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38" spans="1:22" x14ac:dyDescent="0.3">
      <c r="A1538" t="str">
        <f>"Affidamento"</f>
        <v>Affidamento</v>
      </c>
      <c r="B1538" t="str">
        <f>"Fornitura di n.1 TP-Link Router 4G per C.O. Montà Portello"</f>
        <v>Fornitura di n.1 TP-Link Router 4G per C.O. Montà Portello</v>
      </c>
      <c r="C1538" t="str">
        <f>"Z8D324039C"</f>
        <v>Z8D324039C</v>
      </c>
      <c r="D1538" t="str">
        <f>"06/07/2021"</f>
        <v>06/07/2021</v>
      </c>
      <c r="E1538" t="str">
        <f>""</f>
        <v/>
      </c>
      <c r="F1538" t="str">
        <f>""</f>
        <v/>
      </c>
      <c r="G1538" t="str">
        <f>"66.00"</f>
        <v>66.00</v>
      </c>
      <c r="H1538" t="str">
        <f>"Consorzio di bonifica Bacchiglione"</f>
        <v>Consorzio di bonifica Bacchiglione</v>
      </c>
      <c r="I1538" t="str">
        <f>"92223390284"</f>
        <v>92223390284</v>
      </c>
      <c r="J1538" t="str">
        <f>"23-AFFIDAMENTO DIRETTO"</f>
        <v>23-AFFIDAMENTO DIRETTO</v>
      </c>
      <c r="K1538" t="str">
        <f>"25/06/2021"</f>
        <v>25/06/2021</v>
      </c>
      <c r="L1538" t="str">
        <f>"23/07/2021"</f>
        <v>23/07/2021</v>
      </c>
      <c r="M1538" t="str">
        <f>""</f>
        <v/>
      </c>
      <c r="N1538" t="str">
        <f>"Hard Service S.r.l. Via del Progresso, 2 35010 Peraga di Vigonza (PD)"</f>
        <v>Hard Service S.r.l. Via del Progresso, 2 35010 Peraga di Vigonza (PD)</v>
      </c>
      <c r="O1538" t="str">
        <f>"Hard Service S.r.l. Via del Progresso, 2 35010 Peraga di Vigonza (PD)"</f>
        <v>Hard Service S.r.l. Via del Progresso, 2 35010 Peraga di Vigonza (PD)</v>
      </c>
      <c r="P1538" t="str">
        <f>"Z8D324039C: [66.00€ ]"</f>
        <v>Z8D324039C: [66.00€ ]</v>
      </c>
      <c r="Q1538" t="str">
        <f>""</f>
        <v/>
      </c>
      <c r="R1538" t="str">
        <f>""</f>
        <v/>
      </c>
      <c r="S1538" t="str">
        <f>""</f>
        <v/>
      </c>
      <c r="T1538" t="str">
        <f>"https://portaletrasparenza.consorziobacchiglione.it/dettagli/attodigara/6975/fornitura-di-n-1-tp-link-router-4g-per-c-o-monta-portello.html"</f>
        <v>https://portaletrasparenza.consorziobacchiglione.it/dettagli/attodigara/6975/fornitura-di-n-1-tp-link-router-4g-per-c-o-monta-portello.html</v>
      </c>
      <c r="U1538" t="str">
        <f>"https://portaletrasparenza.consorziobacchiglione.it/download/attodigara/6975/63ac45a28accc.PDF"</f>
        <v>https://portaletrasparenza.consorziobacchiglione.it/download/attodigara/6975/63ac45a28accc.PDF</v>
      </c>
      <c r="V153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39" spans="1:22" x14ac:dyDescent="0.3">
      <c r="A1539" t="str">
        <f>"Affidamento"</f>
        <v>Affidamento</v>
      </c>
      <c r="B1539" t="str">
        <f>"Fornitura nuovo pc Personal computer Lenovo M90n-1 per uff. Impianti più n.1 Switch Zyxel 8 porte Gigabit per uff. Catasto"</f>
        <v>Fornitura nuovo pc Personal computer Lenovo M90n-1 per uff. Impianti più n.1 Switch Zyxel 8 porte Gigabit per uff. Catasto</v>
      </c>
      <c r="C1539" t="str">
        <f>"Z943240389"</f>
        <v>Z943240389</v>
      </c>
      <c r="D1539" t="str">
        <f>"06/07/2021"</f>
        <v>06/07/2021</v>
      </c>
      <c r="E1539" t="str">
        <f>""</f>
        <v/>
      </c>
      <c r="F1539" t="str">
        <f>""</f>
        <v/>
      </c>
      <c r="G1539" t="str">
        <f>"565.00"</f>
        <v>565.00</v>
      </c>
      <c r="H1539" t="str">
        <f>"Consorzio di bonifica Bacchiglione"</f>
        <v>Consorzio di bonifica Bacchiglione</v>
      </c>
      <c r="I1539" t="str">
        <f>"92223390284"</f>
        <v>92223390284</v>
      </c>
      <c r="J1539" t="str">
        <f>"23-AFFIDAMENTO DIRETTO"</f>
        <v>23-AFFIDAMENTO DIRETTO</v>
      </c>
      <c r="K1539" t="str">
        <f>"25/06/2021"</f>
        <v>25/06/2021</v>
      </c>
      <c r="L1539" t="str">
        <f>"12/08/2021"</f>
        <v>12/08/2021</v>
      </c>
      <c r="M1539" t="str">
        <f>""</f>
        <v/>
      </c>
      <c r="N1539" t="str">
        <f>"Hard Service S.r.l. Via del Progresso, 2 35010 Peraga di Vigonza (PD)"</f>
        <v>Hard Service S.r.l. Via del Progresso, 2 35010 Peraga di Vigonza (PD)</v>
      </c>
      <c r="O1539" t="str">
        <f>"Hard Service S.r.l. Via del Progresso, 2 35010 Peraga di Vigonza (PD)"</f>
        <v>Hard Service S.r.l. Via del Progresso, 2 35010 Peraga di Vigonza (PD)</v>
      </c>
      <c r="P1539" t="str">
        <f>"Z943240389: [565.00€ ]"</f>
        <v>Z943240389: [565.00€ ]</v>
      </c>
      <c r="Q1539" t="str">
        <f>""</f>
        <v/>
      </c>
      <c r="R1539" t="str">
        <f>""</f>
        <v/>
      </c>
      <c r="S1539" t="str">
        <f>""</f>
        <v/>
      </c>
      <c r="T1539" t="str">
        <f>"https://portaletrasparenza.consorziobacchiglione.it/dettagli/attodigara/6974/fornitura-nuovo-pc-personal-computer-lenovo-m90n-1-per-uff-impianti-piu-n-1-switch-zyxel-8-porte-gigabit-per-uff-catasto.html"</f>
        <v>https://portaletrasparenza.consorziobacchiglione.it/dettagli/attodigara/6974/fornitura-nuovo-pc-personal-computer-lenovo-m90n-1-per-uff-impianti-piu-n-1-switch-zyxel-8-porte-gigabit-per-uff-catasto.html</v>
      </c>
      <c r="U1539" t="str">
        <f>"https://portaletrasparenza.consorziobacchiglione.it/download/attodigara/6974/63ac45a252360.PDF"</f>
        <v>https://portaletrasparenza.consorziobacchiglione.it/download/attodigara/6974/63ac45a252360.PDF</v>
      </c>
      <c r="V15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40" spans="1:22" x14ac:dyDescent="0.3">
      <c r="A1540" t="str">
        <f>"Affidamento"</f>
        <v>Affidamento</v>
      </c>
      <c r="B1540" t="str">
        <f>"Smaltimento di Eternit abbandonato a terra in Via Motta in comune di Codevigo , compreso trasporto per conferimento ad impianto di destino."</f>
        <v>Smaltimento di Eternit abbandonato a terra in Via Motta in comune di Codevigo , compreso trasporto per conferimento ad impianto di destino.</v>
      </c>
      <c r="C1540" t="str">
        <f>"ZA0324118E"</f>
        <v>ZA0324118E</v>
      </c>
      <c r="D1540" t="str">
        <f>"25/06/2021"</f>
        <v>25/06/2021</v>
      </c>
      <c r="E1540" t="str">
        <f>""</f>
        <v/>
      </c>
      <c r="F1540" t="str">
        <f>""</f>
        <v/>
      </c>
      <c r="G1540" t="str">
        <f>"875.00"</f>
        <v>875.00</v>
      </c>
      <c r="H1540" t="str">
        <f>"Consorzio di bonifica Bacchiglione"</f>
        <v>Consorzio di bonifica Bacchiglione</v>
      </c>
      <c r="I1540" t="str">
        <f>"92223390284"</f>
        <v>92223390284</v>
      </c>
      <c r="J1540" t="str">
        <f>"23-AFFIDAMENTO DIRETTO"</f>
        <v>23-AFFIDAMENTO DIRETTO</v>
      </c>
      <c r="K1540" t="str">
        <f>"25/06/2021"</f>
        <v>25/06/2021</v>
      </c>
      <c r="L1540" t="str">
        <f>"15/07/2021"</f>
        <v>15/07/2021</v>
      </c>
      <c r="M1540" t="str">
        <f>""</f>
        <v/>
      </c>
      <c r="N1540" t="str">
        <f>"F.lli Gardin S.R.L. Via Caovilla 16 Saonara PD"</f>
        <v>F.lli Gardin S.R.L. Via Caovilla 16 Saonara PD</v>
      </c>
      <c r="O1540" t="str">
        <f>"F.lli Gardin S.R.L. Via Caovilla 16 Saonara PD"</f>
        <v>F.lli Gardin S.R.L. Via Caovilla 16 Saonara PD</v>
      </c>
      <c r="P1540" t="str">
        <f>"ZA0324118E: [875.00€ ]"</f>
        <v>ZA0324118E: [875.00€ ]</v>
      </c>
      <c r="Q1540" t="str">
        <f>""</f>
        <v/>
      </c>
      <c r="R1540" t="str">
        <f>""</f>
        <v/>
      </c>
      <c r="S1540" t="str">
        <f>""</f>
        <v/>
      </c>
      <c r="T1540" t="str">
        <f>"https://portaletrasparenza.consorziobacchiglione.it/dettagli/attodigara/6978/smaltimento-di-eternit-abbandonato-a-terra-in-via-motta-in-comune-di-codevigo-compreso-trasporto-per-conferimento-ad-impianto-di-destino.html"</f>
        <v>https://portaletrasparenza.consorziobacchiglione.it/dettagli/attodigara/6978/smaltimento-di-eternit-abbandonato-a-terra-in-via-motta-in-comune-di-codevigo-compreso-trasporto-per-conferimento-ad-impianto-di-destino.html</v>
      </c>
      <c r="U1540" t="str">
        <f>"https://portaletrasparenza.consorziobacchiglione.it/download/attodigara/6978/63ac459f153f8.PDF"</f>
        <v>https://portaletrasparenza.consorziobacchiglione.it/download/attodigara/6978/63ac459f153f8.PDF</v>
      </c>
      <c r="V15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41" spans="1:22" x14ac:dyDescent="0.3">
      <c r="A1541" t="str">
        <f>"Affidamento"</f>
        <v>Affidamento</v>
      </c>
      <c r="B1541" t="str">
        <f>"Prelievo ed analisi chimiche su campioni sedimento presso sgrigliatori all'interno del comprensorio"</f>
        <v>Prelievo ed analisi chimiche su campioni sedimento presso sgrigliatori all'interno del comprensorio</v>
      </c>
      <c r="C1541" t="str">
        <f>"Z983240598"</f>
        <v>Z983240598</v>
      </c>
      <c r="D1541" t="str">
        <f>"25/06/2021"</f>
        <v>25/06/2021</v>
      </c>
      <c r="E1541" t="str">
        <f>""</f>
        <v/>
      </c>
      <c r="F1541" t="str">
        <f>""</f>
        <v/>
      </c>
      <c r="G1541" t="str">
        <f>"1510.00"</f>
        <v>1510.00</v>
      </c>
      <c r="H1541" t="str">
        <f>"Consorzio di bonifica Bacchiglione"</f>
        <v>Consorzio di bonifica Bacchiglione</v>
      </c>
      <c r="I1541" t="str">
        <f>"92223390284"</f>
        <v>92223390284</v>
      </c>
      <c r="J1541" t="str">
        <f>"23-AFFIDAMENTO DIRETTO"</f>
        <v>23-AFFIDAMENTO DIRETTO</v>
      </c>
      <c r="K1541" t="str">
        <f>"25/06/2021"</f>
        <v>25/06/2021</v>
      </c>
      <c r="L1541" t="str">
        <f>"10/09/2021"</f>
        <v>10/09/2021</v>
      </c>
      <c r="M1541" t="str">
        <f>""</f>
        <v/>
      </c>
      <c r="N1541" t="str">
        <f>"Geologia Tecnica sas di Vorlicek P.A. E C. Via Martiri della Libertà 29 35042 Este PD"</f>
        <v>Geologia Tecnica sas di Vorlicek P.A. E C. Via Martiri della Libertà 29 35042 Este PD</v>
      </c>
      <c r="O1541" t="str">
        <f>"Geologia Tecnica sas di Vorlicek P.A. E C. Via Martiri della Libertà 29 35042 Este PD"</f>
        <v>Geologia Tecnica sas di Vorlicek P.A. E C. Via Martiri della Libertà 29 35042 Este PD</v>
      </c>
      <c r="P1541" t="str">
        <f>"Z983240598: [1200.00€ ]"</f>
        <v>Z983240598: [1200.00€ ]</v>
      </c>
      <c r="Q1541" t="str">
        <f>""</f>
        <v/>
      </c>
      <c r="R1541" t="str">
        <f>""</f>
        <v/>
      </c>
      <c r="S1541" t="str">
        <f>""</f>
        <v/>
      </c>
      <c r="T1541" t="str">
        <f>"https://portaletrasparenza.consorziobacchiglione.it/dettagli/attodigara/6976/prelievo-ed-analisi-chimiche-su-campioni-sedimento-presso-sgrigliatori-all-interno-del-comprensorio.html"</f>
        <v>https://portaletrasparenza.consorziobacchiglione.it/dettagli/attodigara/6976/prelievo-ed-analisi-chimiche-su-campioni-sedimento-presso-sgrigliatori-all-interno-del-comprensorio.html</v>
      </c>
      <c r="U1541" t="str">
        <f>"https://portaletrasparenza.consorziobacchiglione.it/download/attodigara/6976/63ac459f4e8c9.PDF"</f>
        <v>https://portaletrasparenza.consorziobacchiglione.it/download/attodigara/6976/63ac459f4e8c9.PDF</v>
      </c>
      <c r="V1541">
        <f>(SUBSTITUTE(Tabella1[[#This Row],[Importo di aggiudicazione]],".",","))-(SUBSTITUTE(  SUBSTITUTE(          SUBSTITUTE(Tabella1[[#This Row],[Dettaglio somme liquidate]],Tabella1[[#This Row],[CIG]]&amp;": [",""),"€ ]",""),".",","))</f>
        <v>310</v>
      </c>
    </row>
    <row r="1542" spans="1:22" x14ac:dyDescent="0.3">
      <c r="A1542" t="str">
        <f>"Affidamento"</f>
        <v>Affidamento</v>
      </c>
      <c r="B1542" t="str">
        <f>"Noleggio vibroinfissore per lavori su scolo Rialto."</f>
        <v>Noleggio vibroinfissore per lavori su scolo Rialto.</v>
      </c>
      <c r="C1542" t="str">
        <f>"Z201AC0707"</f>
        <v>Z201AC0707</v>
      </c>
      <c r="D1542" t="str">
        <f>"04/11/2021"</f>
        <v>04/11/2021</v>
      </c>
      <c r="E1542" t="str">
        <f>""</f>
        <v/>
      </c>
      <c r="F1542" t="str">
        <f>""</f>
        <v/>
      </c>
      <c r="G1542" t="str">
        <f>"3200.00"</f>
        <v>3200.00</v>
      </c>
      <c r="H1542" t="str">
        <f>"Consorzio di bonifica Bacchiglione"</f>
        <v>Consorzio di bonifica Bacchiglione</v>
      </c>
      <c r="I1542" t="str">
        <f>"92223390284"</f>
        <v>92223390284</v>
      </c>
      <c r="J1542" t="str">
        <f>"23-AFFIDAMENTO DIRETTO"</f>
        <v>23-AFFIDAMENTO DIRETTO</v>
      </c>
      <c r="K1542" t="str">
        <f>"25/07/2021"</f>
        <v>25/07/2021</v>
      </c>
      <c r="L1542" t="str">
        <f>"29/09/2021"</f>
        <v>29/09/2021</v>
      </c>
      <c r="M1542" t="str">
        <f>""</f>
        <v/>
      </c>
      <c r="N1542" t="str">
        <f>"Sorme Noleggi s.a.s. Via Monache 21 35030 Selvazzano Dentro PD"</f>
        <v>Sorme Noleggi s.a.s. Via Monache 21 35030 Selvazzano Dentro PD</v>
      </c>
      <c r="O1542" t="str">
        <f>"Sorme Noleggi s.a.s. Via Monache 21 35030 Selvazzano Dentro PD"</f>
        <v>Sorme Noleggi s.a.s. Via Monache 21 35030 Selvazzano Dentro PD</v>
      </c>
      <c r="P1542" t="str">
        <f>"Z201AC0707: [3200.00€ ]"</f>
        <v>Z201AC0707: [3200.00€ ]</v>
      </c>
      <c r="Q1542" t="str">
        <f>""</f>
        <v/>
      </c>
      <c r="R1542" t="str">
        <f>""</f>
        <v/>
      </c>
      <c r="S1542" t="str">
        <f>""</f>
        <v/>
      </c>
      <c r="T1542" t="str">
        <f>"https://portaletrasparenza.consorziobacchiglione.it/dettagli/attodigara/616/noleggio-vibroinfissore-per-lavori-su-scolo-rialto.html"</f>
        <v>https://portaletrasparenza.consorziobacchiglione.it/dettagli/attodigara/616/noleggio-vibroinfissore-per-lavori-su-scolo-rialto.html</v>
      </c>
      <c r="U1542" t="str">
        <f>""</f>
        <v/>
      </c>
      <c r="V15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43" spans="1:22" x14ac:dyDescent="0.3">
      <c r="A1543" t="str">
        <f>"Affidamento"</f>
        <v>Affidamento</v>
      </c>
      <c r="B1543" t="str">
        <f>"Controllo annuale gru con rilascio scheda su mezzo con targa: EP107XC"</f>
        <v>Controllo annuale gru con rilascio scheda su mezzo con targa: EP107XC</v>
      </c>
      <c r="C1543" t="str">
        <f>"Z851AC01E5"</f>
        <v>Z851AC01E5</v>
      </c>
      <c r="D1543" t="str">
        <f>"04/11/2021"</f>
        <v>04/11/2021</v>
      </c>
      <c r="E1543" t="str">
        <f>""</f>
        <v/>
      </c>
      <c r="F1543" t="str">
        <f>""</f>
        <v/>
      </c>
      <c r="G1543" t="str">
        <f>"495.00"</f>
        <v>495.00</v>
      </c>
      <c r="H1543" t="str">
        <f>"Consorzio di bonifica Bacchiglione"</f>
        <v>Consorzio di bonifica Bacchiglione</v>
      </c>
      <c r="I1543" t="str">
        <f>"92223390284"</f>
        <v>92223390284</v>
      </c>
      <c r="J1543" t="str">
        <f>"23-AFFIDAMENTO DIRETTO"</f>
        <v>23-AFFIDAMENTO DIRETTO</v>
      </c>
      <c r="K1543" t="str">
        <f>"25/07/2021"</f>
        <v>25/07/2021</v>
      </c>
      <c r="L1543" t="str">
        <f>"29/09/2021"</f>
        <v>29/09/2021</v>
      </c>
      <c r="M1543" t="str">
        <f>""</f>
        <v/>
      </c>
      <c r="N1543" t="str">
        <f>"Moressa s.r.l. Via Cuccara 2 35020 Due Carrare PD"</f>
        <v>Moressa s.r.l. Via Cuccara 2 35020 Due Carrare PD</v>
      </c>
      <c r="O1543" t="str">
        <f>"Moressa s.r.l. Via Cuccara 2 35020 Due Carrare PD"</f>
        <v>Moressa s.r.l. Via Cuccara 2 35020 Due Carrare PD</v>
      </c>
      <c r="P1543" t="str">
        <f>"Z851AC01E5: [495.00€ ]"</f>
        <v>Z851AC01E5: [495.00€ ]</v>
      </c>
      <c r="Q1543" t="str">
        <f>""</f>
        <v/>
      </c>
      <c r="R1543" t="str">
        <f>""</f>
        <v/>
      </c>
      <c r="S1543" t="str">
        <f>""</f>
        <v/>
      </c>
      <c r="T1543" t="str">
        <f>"https://portaletrasparenza.consorziobacchiglione.it/dettagli/attodigara/615/controllo-annuale-gru-con-rilascio-scheda-su-mezzo-con-targa-ep107xc.html"</f>
        <v>https://portaletrasparenza.consorziobacchiglione.it/dettagli/attodigara/615/controllo-annuale-gru-con-rilascio-scheda-su-mezzo-con-targa-ep107xc.html</v>
      </c>
      <c r="U1543" t="str">
        <f>""</f>
        <v/>
      </c>
      <c r="V154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44" spans="1:22" x14ac:dyDescent="0.3">
      <c r="A1544" t="str">
        <f>"Affidamento"</f>
        <v>Affidamento</v>
      </c>
      <c r="B1544" t="str">
        <f>"Manutenzione e riparazione mezzo con targa: PDAF497."</f>
        <v>Manutenzione e riparazione mezzo con targa: PDAF497.</v>
      </c>
      <c r="C1544" t="str">
        <f>"Z441AC010B"</f>
        <v>Z441AC010B</v>
      </c>
      <c r="D1544" t="str">
        <f>"04/11/2021"</f>
        <v>04/11/2021</v>
      </c>
      <c r="E1544" t="str">
        <f>""</f>
        <v/>
      </c>
      <c r="F1544" t="str">
        <f>""</f>
        <v/>
      </c>
      <c r="G1544" t="str">
        <f>"224.80"</f>
        <v>224.80</v>
      </c>
      <c r="H1544" t="str">
        <f>"Consorzio di bonifica Bacchiglione"</f>
        <v>Consorzio di bonifica Bacchiglione</v>
      </c>
      <c r="I1544" t="str">
        <f>"92223390284"</f>
        <v>92223390284</v>
      </c>
      <c r="J1544" t="str">
        <f>"23-AFFIDAMENTO DIRETTO"</f>
        <v>23-AFFIDAMENTO DIRETTO</v>
      </c>
      <c r="K1544" t="str">
        <f>"25/07/2021"</f>
        <v>25/07/2021</v>
      </c>
      <c r="L1544" t="str">
        <f>"14/10/2021"</f>
        <v>14/10/2021</v>
      </c>
      <c r="M1544" t="str">
        <f>""</f>
        <v/>
      </c>
      <c r="N1544" t="str">
        <f>"Elettrodiesel Peruzzo s.r.l. Via Tevere 30 35135 Padova"</f>
        <v>Elettrodiesel Peruzzo s.r.l. Via Tevere 30 35135 Padova</v>
      </c>
      <c r="O1544" t="str">
        <f>"Elettrodiesel Peruzzo s.r.l. Via Tevere 30 35135 Padova"</f>
        <v>Elettrodiesel Peruzzo s.r.l. Via Tevere 30 35135 Padova</v>
      </c>
      <c r="P1544" t="str">
        <f>"Z441AC010B: [224.80€ ]"</f>
        <v>Z441AC010B: [224.80€ ]</v>
      </c>
      <c r="Q1544" t="str">
        <f>""</f>
        <v/>
      </c>
      <c r="R1544" t="str">
        <f>""</f>
        <v/>
      </c>
      <c r="S1544" t="str">
        <f>""</f>
        <v/>
      </c>
      <c r="T1544" t="str">
        <f>"https://portaletrasparenza.consorziobacchiglione.it/dettagli/attodigara/614/manutenzione-e-riparazione-mezzo-con-targa-pdaf497.html"</f>
        <v>https://portaletrasparenza.consorziobacchiglione.it/dettagli/attodigara/614/manutenzione-e-riparazione-mezzo-con-targa-pdaf497.html</v>
      </c>
      <c r="U1544" t="str">
        <f>""</f>
        <v/>
      </c>
      <c r="V154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45" spans="1:22" x14ac:dyDescent="0.3">
      <c r="A1545" t="str">
        <f>"Affidamento"</f>
        <v>Affidamento</v>
      </c>
      <c r="B1545" t="str">
        <f>"Manutenzione e riparazione mezzo con targa: EW930NS"</f>
        <v>Manutenzione e riparazione mezzo con targa: EW930NS</v>
      </c>
      <c r="C1545" t="str">
        <f>"ZBE1ABFDA6"</f>
        <v>ZBE1ABFDA6</v>
      </c>
      <c r="D1545" t="str">
        <f>"04/11/2021"</f>
        <v>04/11/2021</v>
      </c>
      <c r="E1545" t="str">
        <f>""</f>
        <v/>
      </c>
      <c r="F1545" t="str">
        <f>""</f>
        <v/>
      </c>
      <c r="G1545" t="str">
        <f>"249.23"</f>
        <v>249.23</v>
      </c>
      <c r="H1545" t="str">
        <f>"Consorzio di bonifica Bacchiglione"</f>
        <v>Consorzio di bonifica Bacchiglione</v>
      </c>
      <c r="I1545" t="str">
        <f>"92223390284"</f>
        <v>92223390284</v>
      </c>
      <c r="J1545" t="str">
        <f>"23-AFFIDAMENTO DIRETTO"</f>
        <v>23-AFFIDAMENTO DIRETTO</v>
      </c>
      <c r="K1545" t="str">
        <f>"25/07/2021"</f>
        <v>25/07/2021</v>
      </c>
      <c r="L1545" t="str">
        <f>"31/12/2021"</f>
        <v>31/12/2021</v>
      </c>
      <c r="M1545" t="str">
        <f>""</f>
        <v/>
      </c>
      <c r="N1545" t="str">
        <f>"Autoriparazioni Ravazzolo s.r.l. Via Roma 259a 35030 Montemerlo di Cervarese Santa Croce PD"</f>
        <v>Autoriparazioni Ravazzolo s.r.l. Via Roma 259a 35030 Montemerlo di Cervarese Santa Croce PD</v>
      </c>
      <c r="O1545" t="str">
        <f>"Autoriparazioni Ravazzolo s.r.l. Via Roma 259a 35030 Montemerlo di Cervarese Santa Croce PD"</f>
        <v>Autoriparazioni Ravazzolo s.r.l. Via Roma 259a 35030 Montemerlo di Cervarese Santa Croce PD</v>
      </c>
      <c r="P1545" t="str">
        <f>"ZBE1ABFDA6: [0.00€ ]"</f>
        <v>ZBE1ABFDA6: [0.00€ ]</v>
      </c>
      <c r="Q1545" t="str">
        <f>""</f>
        <v/>
      </c>
      <c r="R1545" t="str">
        <f>""</f>
        <v/>
      </c>
      <c r="S1545" t="str">
        <f>""</f>
        <v/>
      </c>
      <c r="T1545" t="str">
        <f>"https://portaletrasparenza.consorziobacchiglione.it/dettagli/attodigara/613/manutenzione-e-riparazione-mezzo-con-targa-ew930ns.html"</f>
        <v>https://portaletrasparenza.consorziobacchiglione.it/dettagli/attodigara/613/manutenzione-e-riparazione-mezzo-con-targa-ew930ns.html</v>
      </c>
      <c r="U1545" t="str">
        <f>""</f>
        <v/>
      </c>
      <c r="V1545">
        <f>(SUBSTITUTE(Tabella1[[#This Row],[Importo di aggiudicazione]],".",","))-(SUBSTITUTE(  SUBSTITUTE(          SUBSTITUTE(Tabella1[[#This Row],[Dettaglio somme liquidate]],Tabella1[[#This Row],[CIG]]&amp;": [",""),"€ ]",""),".",","))</f>
        <v>249.23</v>
      </c>
    </row>
    <row r="1546" spans="1:22" x14ac:dyDescent="0.3">
      <c r="A1546" t="str">
        <f>"Affidamento"</f>
        <v>Affidamento</v>
      </c>
      <c r="B1546" t="str">
        <f>"Fornitura n 2 carrello pirodiserbo a 2 ruote per bombola da 15/25 KG per C.O.S.Margherita."</f>
        <v>Fornitura n 2 carrello pirodiserbo a 2 ruote per bombola da 15/25 KG per C.O.S.Margherita.</v>
      </c>
      <c r="C1546" t="str">
        <f>"ZD31AFCFEF"</f>
        <v>ZD31AFCFEF</v>
      </c>
      <c r="D1546" t="str">
        <f>"04/11/2021"</f>
        <v>04/11/2021</v>
      </c>
      <c r="E1546" t="str">
        <f>""</f>
        <v/>
      </c>
      <c r="F1546" t="str">
        <f>""</f>
        <v/>
      </c>
      <c r="G1546" t="str">
        <f>"418.03"</f>
        <v>418.03</v>
      </c>
      <c r="H1546" t="str">
        <f>"Consorzio di bonifica Bacchiglione"</f>
        <v>Consorzio di bonifica Bacchiglione</v>
      </c>
      <c r="I1546" t="str">
        <f>"92223390284"</f>
        <v>92223390284</v>
      </c>
      <c r="J1546" t="str">
        <f>"23-AFFIDAMENTO DIRETTO"</f>
        <v>23-AFFIDAMENTO DIRETTO</v>
      </c>
      <c r="K1546" t="str">
        <f>"25/08/2021"</f>
        <v>25/08/2021</v>
      </c>
      <c r="L1546" t="str">
        <f>"29/09/2021"</f>
        <v>29/09/2021</v>
      </c>
      <c r="M1546" t="str">
        <f>""</f>
        <v/>
      </c>
      <c r="N1546" t="str">
        <f>"Frizzarin Marcello e C. s.n.c. Via Roma 1e 35020 Albignasego PD"</f>
        <v>Frizzarin Marcello e C. s.n.c. Via Roma 1e 35020 Albignasego PD</v>
      </c>
      <c r="O1546" t="str">
        <f>"Frizzarin Marcello e C. s.n.c. Via Roma 1e 35020 Albignasego PD"</f>
        <v>Frizzarin Marcello e C. s.n.c. Via Roma 1e 35020 Albignasego PD</v>
      </c>
      <c r="P1546" t="str">
        <f>"ZD31AFCFEF: [418.03€ ]"</f>
        <v>ZD31AFCFEF: [418.03€ ]</v>
      </c>
      <c r="Q1546" t="str">
        <f>""</f>
        <v/>
      </c>
      <c r="R1546" t="str">
        <f>""</f>
        <v/>
      </c>
      <c r="S1546" t="str">
        <f>""</f>
        <v/>
      </c>
      <c r="T1546" t="str">
        <f>"https://portaletrasparenza.consorziobacchiglione.it/dettagli/attodigara/693/fornitura-n-2-carrello-pirodiserbo-a-2-ruote-per-bombola-da-15-25-kg-per-c-o-s-margherita.html"</f>
        <v>https://portaletrasparenza.consorziobacchiglione.it/dettagli/attodigara/693/fornitura-n-2-carrello-pirodiserbo-a-2-ruote-per-bombola-da-15-25-kg-per-c-o-s-margherita.html</v>
      </c>
      <c r="U1546" t="str">
        <f>""</f>
        <v/>
      </c>
      <c r="V15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47" spans="1:22" x14ac:dyDescent="0.3">
      <c r="A1547" t="str">
        <f>"Affidamento"</f>
        <v>Affidamento</v>
      </c>
      <c r="B1547" t="str">
        <f>"Fornitura materiale edile per Sifone di Lova, Idrovora Trezze e bacino Sesta Presa."</f>
        <v>Fornitura materiale edile per Sifone di Lova, Idrovora Trezze e bacino Sesta Presa.</v>
      </c>
      <c r="C1547" t="str">
        <f>"Z901AFCE8B"</f>
        <v>Z901AFCE8B</v>
      </c>
      <c r="D1547" t="str">
        <f>"04/11/2021"</f>
        <v>04/11/2021</v>
      </c>
      <c r="E1547" t="str">
        <f>""</f>
        <v/>
      </c>
      <c r="F1547" t="str">
        <f>""</f>
        <v/>
      </c>
      <c r="G1547" t="str">
        <f>"533.90"</f>
        <v>533.90</v>
      </c>
      <c r="H1547" t="str">
        <f>"Consorzio di bonifica Bacchiglione"</f>
        <v>Consorzio di bonifica Bacchiglione</v>
      </c>
      <c r="I1547" t="str">
        <f>"92223390284"</f>
        <v>92223390284</v>
      </c>
      <c r="J1547" t="str">
        <f>"23-AFFIDAMENTO DIRETTO"</f>
        <v>23-AFFIDAMENTO DIRETTO</v>
      </c>
      <c r="K1547" t="str">
        <f>"25/08/2021"</f>
        <v>25/08/2021</v>
      </c>
      <c r="L1547" t="str">
        <f>"27/10/2021"</f>
        <v>27/10/2021</v>
      </c>
      <c r="M1547" t="str">
        <f>""</f>
        <v/>
      </c>
      <c r="N1547" t="str">
        <f>"Idronord s.r.l. Via delle Industrie 3C 30036 Santa Maria Di Sala VE"</f>
        <v>Idronord s.r.l. Via delle Industrie 3C 30036 Santa Maria Di Sala VE</v>
      </c>
      <c r="O1547" t="str">
        <f>"Idronord s.r.l. Via delle Industrie 3C 30036 Santa Maria Di Sala VE"</f>
        <v>Idronord s.r.l. Via delle Industrie 3C 30036 Santa Maria Di Sala VE</v>
      </c>
      <c r="P1547" t="str">
        <f>"Z901AFCE8B: [533.90€ ]"</f>
        <v>Z901AFCE8B: [533.90€ ]</v>
      </c>
      <c r="Q1547" t="str">
        <f>""</f>
        <v/>
      </c>
      <c r="R1547" t="str">
        <f>""</f>
        <v/>
      </c>
      <c r="S1547" t="str">
        <f>""</f>
        <v/>
      </c>
      <c r="T1547" t="str">
        <f>"https://portaletrasparenza.consorziobacchiglione.it/dettagli/attodigara/692/fornitura-materiale-edile-per-sifone-di-lova-idrovora-trezze-e-bacino-sesta-presa.html"</f>
        <v>https://portaletrasparenza.consorziobacchiglione.it/dettagli/attodigara/692/fornitura-materiale-edile-per-sifone-di-lova-idrovora-trezze-e-bacino-sesta-presa.html</v>
      </c>
      <c r="U1547" t="str">
        <f>""</f>
        <v/>
      </c>
      <c r="V154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48" spans="1:22" x14ac:dyDescent="0.3">
      <c r="A1548" t="str">
        <f>"Affidamento"</f>
        <v>Affidamento</v>
      </c>
      <c r="B1548" t="str">
        <f>"Manutenzione e riparazione mezzo con targa: AJR631"</f>
        <v>Manutenzione e riparazione mezzo con targa: AJR631</v>
      </c>
      <c r="C1548" t="str">
        <f>"Z371AFCE16"</f>
        <v>Z371AFCE16</v>
      </c>
      <c r="D1548" t="str">
        <f>"04/11/2021"</f>
        <v>04/11/2021</v>
      </c>
      <c r="E1548" t="str">
        <f>""</f>
        <v/>
      </c>
      <c r="F1548" t="str">
        <f>""</f>
        <v/>
      </c>
      <c r="G1548" t="str">
        <f>"370.09"</f>
        <v>370.09</v>
      </c>
      <c r="H1548" t="str">
        <f>"Consorzio di bonifica Bacchiglione"</f>
        <v>Consorzio di bonifica Bacchiglione</v>
      </c>
      <c r="I1548" t="str">
        <f>"92223390284"</f>
        <v>92223390284</v>
      </c>
      <c r="J1548" t="str">
        <f>"23-AFFIDAMENTO DIRETTO"</f>
        <v>23-AFFIDAMENTO DIRETTO</v>
      </c>
      <c r="K1548" t="str">
        <f>"25/08/2021"</f>
        <v>25/08/2021</v>
      </c>
      <c r="L1548" t="str">
        <f>"09/11/2021"</f>
        <v>09/11/2021</v>
      </c>
      <c r="M1548" t="str">
        <f>""</f>
        <v/>
      </c>
      <c r="N1548" t="str">
        <f>"Negrisolo Officina Meccanica s.a.s. V.le delle Industrie II° strada 13 35025 Cagnola di Cartura PD"</f>
        <v>Negrisolo Officina Meccanica s.a.s. V.le delle Industrie II° strada 13 35025 Cagnola di Cartura PD</v>
      </c>
      <c r="O1548" t="str">
        <f>"Negrisolo Officina Meccanica s.a.s. V.le delle Industrie II° strada 13 35025 Cagnola di Cartura PD"</f>
        <v>Negrisolo Officina Meccanica s.a.s. V.le delle Industrie II° strada 13 35025 Cagnola di Cartura PD</v>
      </c>
      <c r="P1548" t="str">
        <f>"Z371AFCE16: [370.09€ ]"</f>
        <v>Z371AFCE16: [370.09€ ]</v>
      </c>
      <c r="Q1548" t="str">
        <f>""</f>
        <v/>
      </c>
      <c r="R1548" t="str">
        <f>""</f>
        <v/>
      </c>
      <c r="S1548" t="str">
        <f>""</f>
        <v/>
      </c>
      <c r="T1548" t="str">
        <f>"https://portaletrasparenza.consorziobacchiglione.it/dettagli/attodigara/691/manutenzione-e-riparazione-mezzo-con-targa-ajr631.html"</f>
        <v>https://portaletrasparenza.consorziobacchiglione.it/dettagli/attodigara/691/manutenzione-e-riparazione-mezzo-con-targa-ajr631.html</v>
      </c>
      <c r="U1548" t="str">
        <f>""</f>
        <v/>
      </c>
      <c r="V15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49" spans="1:22" x14ac:dyDescent="0.3">
      <c r="A1549" t="str">
        <f>"Affidamento"</f>
        <v>Affidamento</v>
      </c>
      <c r="B1549" t="str">
        <f>"Prima verifica periodica gru matr.INAIL 2014/2/00286/PD su autocarro IVECO Daily targato EW930NS."</f>
        <v>Prima verifica periodica gru matr.INAIL 2014/2/00286/PD su autocarro IVECO Daily targato EW930NS.</v>
      </c>
      <c r="C1549" t="str">
        <f>"Z6A1AFC44D"</f>
        <v>Z6A1AFC44D</v>
      </c>
      <c r="D1549" t="str">
        <f>"04/11/2021"</f>
        <v>04/11/2021</v>
      </c>
      <c r="E1549" t="str">
        <f>""</f>
        <v/>
      </c>
      <c r="F1549" t="str">
        <f>""</f>
        <v/>
      </c>
      <c r="G1549" t="str">
        <f>"263.30"</f>
        <v>263.30</v>
      </c>
      <c r="H1549" t="str">
        <f>"Consorzio di bonifica Bacchiglione"</f>
        <v>Consorzio di bonifica Bacchiglione</v>
      </c>
      <c r="I1549" t="str">
        <f>"92223390284"</f>
        <v>92223390284</v>
      </c>
      <c r="J1549" t="str">
        <f>"23-AFFIDAMENTO DIRETTO"</f>
        <v>23-AFFIDAMENTO DIRETTO</v>
      </c>
      <c r="K1549" t="str">
        <f>"25/08/2021"</f>
        <v>25/08/2021</v>
      </c>
      <c r="L1549" t="str">
        <f>"10/09/2021"</f>
        <v>10/09/2021</v>
      </c>
      <c r="M1549" t="str">
        <f>""</f>
        <v/>
      </c>
      <c r="N1549" t="str">
        <f>"ECO Certificazioni S.p.A. Via Mengolina 33 48018 Faenza RA"</f>
        <v>ECO Certificazioni S.p.A. Via Mengolina 33 48018 Faenza RA</v>
      </c>
      <c r="O1549" t="str">
        <f>"ECO Certificazioni S.p.A. Via Mengolina 33 48018 Faenza RA"</f>
        <v>ECO Certificazioni S.p.A. Via Mengolina 33 48018 Faenza RA</v>
      </c>
      <c r="P1549" t="str">
        <f>"Z6A1AFC44D: [263.30€ ]"</f>
        <v>Z6A1AFC44D: [263.30€ ]</v>
      </c>
      <c r="Q1549" t="str">
        <f>""</f>
        <v/>
      </c>
      <c r="R1549" t="str">
        <f>""</f>
        <v/>
      </c>
      <c r="S1549" t="str">
        <f>""</f>
        <v/>
      </c>
      <c r="T1549" t="str">
        <f>"https://portaletrasparenza.consorziobacchiglione.it/dettagli/attodigara/690/prima-verifica-periodica-gru-matr-inail-2014-2-00286-pd-su-autocarro-iveco-daily-targato-ew930ns.html"</f>
        <v>https://portaletrasparenza.consorziobacchiglione.it/dettagli/attodigara/690/prima-verifica-periodica-gru-matr-inail-2014-2-00286-pd-su-autocarro-iveco-daily-targato-ew930ns.html</v>
      </c>
      <c r="U1549" t="str">
        <f>""</f>
        <v/>
      </c>
      <c r="V15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50" spans="1:22" x14ac:dyDescent="0.3">
      <c r="A1550" t="str">
        <f>"Affidamento"</f>
        <v>Affidamento</v>
      </c>
      <c r="B1550" t="str">
        <f>"Assistenza archeologica specialistica agli scavi nel cantiere PSRN 2014/2020 - 1°lotto - - Processo ID 004-21."</f>
        <v>Assistenza archeologica specialistica agli scavi nel cantiere PSRN 2014/2020 - 1°lotto - - Processo ID 004-21.</v>
      </c>
      <c r="C1550" t="str">
        <f>"ZB3329F2CB"</f>
        <v>ZB3329F2CB</v>
      </c>
      <c r="D1550" t="str">
        <f>"25/08/2021"</f>
        <v>25/08/2021</v>
      </c>
      <c r="E1550" t="str">
        <f>""</f>
        <v/>
      </c>
      <c r="F1550" t="str">
        <f>""</f>
        <v/>
      </c>
      <c r="G1550" t="str">
        <f>"11965.00"</f>
        <v>11965.00</v>
      </c>
      <c r="H1550" t="str">
        <f>"Consorzio di bonifica Bacchiglione"</f>
        <v>Consorzio di bonifica Bacchiglione</v>
      </c>
      <c r="I1550" t="str">
        <f>"92223390284"</f>
        <v>92223390284</v>
      </c>
      <c r="J1550" t="str">
        <f>"23-AFFIDAMENTO DIRETTO"</f>
        <v>23-AFFIDAMENTO DIRETTO</v>
      </c>
      <c r="K1550" t="str">
        <f>"25/08/2021"</f>
        <v>25/08/2021</v>
      </c>
      <c r="L1550" t="str">
        <f>"16/06/2022"</f>
        <v>16/06/2022</v>
      </c>
      <c r="M1550" t="str">
        <f>""</f>
        <v/>
      </c>
      <c r="N1550" t="str">
        <f>"NEA Archeologia Soc. Coop."</f>
        <v>NEA Archeologia Soc. Coop.</v>
      </c>
      <c r="O1550" t="str">
        <f>"NEA Archeologia Soc. Coop."</f>
        <v>NEA Archeologia Soc. Coop.</v>
      </c>
      <c r="P1550" t="str">
        <f>"ZB3329F2CB: [11964.75€ ]"</f>
        <v>ZB3329F2CB: [11964.75€ ]</v>
      </c>
      <c r="Q1550" t="str">
        <f>""</f>
        <v/>
      </c>
      <c r="R1550" t="str">
        <f>""</f>
        <v/>
      </c>
      <c r="S1550" t="str">
        <f>""</f>
        <v/>
      </c>
      <c r="T1550" t="str">
        <f>"https://portaletrasparenza.consorziobacchiglione.it/dettagli/attodigara/7086/assistenza-archeologica-specialistica-agli-scavi-nel-cantiere-psrn-2014-2020-1-lotto-processo-id-004-21.html"</f>
        <v>https://portaletrasparenza.consorziobacchiglione.it/dettagli/attodigara/7086/assistenza-archeologica-specialistica-agli-scavi-nel-cantiere-psrn-2014-2020-1-lotto-processo-id-004-21.html</v>
      </c>
      <c r="U1550" t="str">
        <f>"https://portaletrasparenza.consorziobacchiglione.it/download/attodigara/7086/63ac45b995e3d.PDF"</f>
        <v>https://portaletrasparenza.consorziobacchiglione.it/download/attodigara/7086/63ac45b995e3d.PDF</v>
      </c>
      <c r="V1550">
        <f>(SUBSTITUTE(Tabella1[[#This Row],[Importo di aggiudicazione]],".",","))-(SUBSTITUTE(  SUBSTITUTE(          SUBSTITUTE(Tabella1[[#This Row],[Dettaglio somme liquidate]],Tabella1[[#This Row],[CIG]]&amp;": [",""),"€ ]",""),".",","))</f>
        <v>0.25</v>
      </c>
    </row>
    <row r="1551" spans="1:22" x14ac:dyDescent="0.3">
      <c r="A1551" t="str">
        <f>"Affidamento"</f>
        <v>Affidamento</v>
      </c>
      <c r="B1551" t="str">
        <f>"Assistenza D.L."</f>
        <v>Assistenza D.L.</v>
      </c>
      <c r="C1551" t="str">
        <f>"ZE71BB56A7"</f>
        <v>ZE71BB56A7</v>
      </c>
      <c r="D1551" t="str">
        <f>"04/11/2021"</f>
        <v>04/11/2021</v>
      </c>
      <c r="E1551" t="str">
        <f>""</f>
        <v/>
      </c>
      <c r="F1551" t="str">
        <f>""</f>
        <v/>
      </c>
      <c r="G1551" t="str">
        <f>"1040.00"</f>
        <v>1040.00</v>
      </c>
      <c r="H1551" t="str">
        <f>"Consorzio di bonifica Bacchiglione"</f>
        <v>Consorzio di bonifica Bacchiglione</v>
      </c>
      <c r="I1551" t="str">
        <f>"92223390284"</f>
        <v>92223390284</v>
      </c>
      <c r="J1551" t="str">
        <f>"23-AFFIDAMENTO DIRETTO"</f>
        <v>23-AFFIDAMENTO DIRETTO</v>
      </c>
      <c r="K1551" t="str">
        <f>"25/10/2021"</f>
        <v>25/10/2021</v>
      </c>
      <c r="L1551" t="str">
        <f>"30/09/2021"</f>
        <v>30/09/2021</v>
      </c>
      <c r="M1551" t="str">
        <f>""</f>
        <v/>
      </c>
      <c r="N1551" t="str">
        <f>"MATE Soc.Coop.va"</f>
        <v>MATE Soc.Coop.va</v>
      </c>
      <c r="O1551" t="str">
        <f>"MATE Soc.Coop.va"</f>
        <v>MATE Soc.Coop.va</v>
      </c>
      <c r="P1551" t="str">
        <f>"ZE71BB56A7: [1040.00€ ]"</f>
        <v>ZE71BB56A7: [1040.00€ ]</v>
      </c>
      <c r="Q1551" t="str">
        <f>""</f>
        <v/>
      </c>
      <c r="R1551" t="str">
        <f>""</f>
        <v/>
      </c>
      <c r="S1551" t="str">
        <f>""</f>
        <v/>
      </c>
      <c r="T1551" t="str">
        <f>"https://portaletrasparenza.consorziobacchiglione.it/dettagli/attodigara/855/assistenza-d-l.html"</f>
        <v>https://portaletrasparenza.consorziobacchiglione.it/dettagli/attodigara/855/assistenza-d-l.html</v>
      </c>
      <c r="U1551" t="str">
        <f>""</f>
        <v/>
      </c>
      <c r="V155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52" spans="1:22" x14ac:dyDescent="0.3">
      <c r="A1552" t="str">
        <f>"Affidamento"</f>
        <v>Affidamento</v>
      </c>
      <c r="B1552" t="str">
        <f>"Trasporto con carrello trattore New Holland M100 da sito rottura (Bojon) a Officina Biesse."</f>
        <v>Trasporto con carrello trattore New Holland M100 da sito rottura (Bojon) a Officina Biesse.</v>
      </c>
      <c r="C1552" t="str">
        <f>"Z9A1BBCC25"</f>
        <v>Z9A1BBCC25</v>
      </c>
      <c r="D1552" t="str">
        <f>"04/11/2021"</f>
        <v>04/11/2021</v>
      </c>
      <c r="E1552" t="str">
        <f>""</f>
        <v/>
      </c>
      <c r="F1552" t="str">
        <f>""</f>
        <v/>
      </c>
      <c r="G1552" t="str">
        <f>"165.00"</f>
        <v>165.00</v>
      </c>
      <c r="H1552" t="str">
        <f>"Consorzio di bonifica Bacchiglione"</f>
        <v>Consorzio di bonifica Bacchiglione</v>
      </c>
      <c r="I1552" t="str">
        <f>"92223390284"</f>
        <v>92223390284</v>
      </c>
      <c r="J1552" t="str">
        <f>"23-AFFIDAMENTO DIRETTO"</f>
        <v>23-AFFIDAMENTO DIRETTO</v>
      </c>
      <c r="K1552" t="str">
        <f>"25/10/2021"</f>
        <v>25/10/2021</v>
      </c>
      <c r="L1552" t="str">
        <f>"03/01/2021"</f>
        <v>03/01/2021</v>
      </c>
      <c r="M1552" t="str">
        <f>""</f>
        <v/>
      </c>
      <c r="N1552" t="str">
        <f>"Trovò s.r.l. Via Idrovora, 3 - 35020 Codevigo (PD)"</f>
        <v>Trovò s.r.l. Via Idrovora, 3 - 35020 Codevigo (PD)</v>
      </c>
      <c r="O1552" t="str">
        <f>"Trovò s.r.l. Via Idrovora, 3 - 35020 Codevigo (PD)"</f>
        <v>Trovò s.r.l. Via Idrovora, 3 - 35020 Codevigo (PD)</v>
      </c>
      <c r="P1552" t="str">
        <f>"Z9A1BBCC25: [165.00€ ]"</f>
        <v>Z9A1BBCC25: [165.00€ ]</v>
      </c>
      <c r="Q1552" t="str">
        <f>""</f>
        <v/>
      </c>
      <c r="R1552" t="str">
        <f>""</f>
        <v/>
      </c>
      <c r="S1552" t="str">
        <f>""</f>
        <v/>
      </c>
      <c r="T1552" t="str">
        <f>"https://portaletrasparenza.consorziobacchiglione.it/dettagli/attodigara/854/trasporto-con-carrello-trattore-new-holland-m100-da-sito-rottura-bojon-a-officina-biesse.html"</f>
        <v>https://portaletrasparenza.consorziobacchiglione.it/dettagli/attodigara/854/trasporto-con-carrello-trattore-new-holland-m100-da-sito-rottura-bojon-a-officina-biesse.html</v>
      </c>
      <c r="U1552" t="str">
        <f>""</f>
        <v/>
      </c>
      <c r="V15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53" spans="1:22" x14ac:dyDescent="0.3">
      <c r="A1553" t="str">
        <f>"Affidamento"</f>
        <v>Affidamento</v>
      </c>
      <c r="B1553" t="str">
        <f>"Manutenzione e riparazione mezzo con targa: AKA712"</f>
        <v>Manutenzione e riparazione mezzo con targa: AKA712</v>
      </c>
      <c r="C1553" t="str">
        <f>"Z3B1BBC81C"</f>
        <v>Z3B1BBC81C</v>
      </c>
      <c r="D1553" t="str">
        <f>"04/11/2021"</f>
        <v>04/11/2021</v>
      </c>
      <c r="E1553" t="str">
        <f>""</f>
        <v/>
      </c>
      <c r="F1553" t="str">
        <f>""</f>
        <v/>
      </c>
      <c r="G1553" t="str">
        <f>"794.00"</f>
        <v>794.00</v>
      </c>
      <c r="H1553" t="str">
        <f>"Consorzio di bonifica Bacchiglione"</f>
        <v>Consorzio di bonifica Bacchiglione</v>
      </c>
      <c r="I1553" t="str">
        <f>"92223390284"</f>
        <v>92223390284</v>
      </c>
      <c r="J1553" t="str">
        <f>"23-AFFIDAMENTO DIRETTO"</f>
        <v>23-AFFIDAMENTO DIRETTO</v>
      </c>
      <c r="K1553" t="str">
        <f>"25/10/2021"</f>
        <v>25/10/2021</v>
      </c>
      <c r="L1553" t="str">
        <f>"03/01/2021"</f>
        <v>03/01/2021</v>
      </c>
      <c r="M1553" t="str">
        <f>""</f>
        <v/>
      </c>
      <c r="N1553" t="str">
        <f>"Adriatica Commerciale Macchine s.r.l. Via dell'Artigianato 5 35020 Due Carrare PD"</f>
        <v>Adriatica Commerciale Macchine s.r.l. Via dell'Artigianato 5 35020 Due Carrare PD</v>
      </c>
      <c r="O1553" t="str">
        <f>"Adriatica Commerciale Macchine s.r.l. Via dell'Artigianato 5 35020 Due Carrare PD"</f>
        <v>Adriatica Commerciale Macchine s.r.l. Via dell'Artigianato 5 35020 Due Carrare PD</v>
      </c>
      <c r="P1553" t="str">
        <f>"Z3B1BBC81C: [794.00€ ]"</f>
        <v>Z3B1BBC81C: [794.00€ ]</v>
      </c>
      <c r="Q1553" t="str">
        <f>""</f>
        <v/>
      </c>
      <c r="R1553" t="str">
        <f>""</f>
        <v/>
      </c>
      <c r="S1553" t="str">
        <f>""</f>
        <v/>
      </c>
      <c r="T1553" t="str">
        <f>"https://portaletrasparenza.consorziobacchiglione.it/dettagli/attodigara/853/manutenzione-e-riparazione-mezzo-con-targa-aka712.html"</f>
        <v>https://portaletrasparenza.consorziobacchiglione.it/dettagli/attodigara/853/manutenzione-e-riparazione-mezzo-con-targa-aka712.html</v>
      </c>
      <c r="U1553" t="str">
        <f>""</f>
        <v/>
      </c>
      <c r="V15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54" spans="1:22" x14ac:dyDescent="0.3">
      <c r="A1554" t="str">
        <f>"Affidamento"</f>
        <v>Affidamento</v>
      </c>
      <c r="B1554" t="str">
        <f>"Fornitura materiale zincato per griglia scolo Gheller e Montà."</f>
        <v>Fornitura materiale zincato per griglia scolo Gheller e Montà.</v>
      </c>
      <c r="C1554" t="str">
        <f>"Z371BBC708"</f>
        <v>Z371BBC708</v>
      </c>
      <c r="D1554" t="str">
        <f>"04/11/2021"</f>
        <v>04/11/2021</v>
      </c>
      <c r="E1554" t="str">
        <f>""</f>
        <v/>
      </c>
      <c r="F1554" t="str">
        <f>""</f>
        <v/>
      </c>
      <c r="G1554" t="str">
        <f>"567.70"</f>
        <v>567.70</v>
      </c>
      <c r="H1554" t="str">
        <f>"Consorzio di bonifica Bacchiglione"</f>
        <v>Consorzio di bonifica Bacchiglione</v>
      </c>
      <c r="I1554" t="str">
        <f>"92223390284"</f>
        <v>92223390284</v>
      </c>
      <c r="J1554" t="str">
        <f>"23-AFFIDAMENTO DIRETTO"</f>
        <v>23-AFFIDAMENTO DIRETTO</v>
      </c>
      <c r="K1554" t="str">
        <f>"25/10/2021"</f>
        <v>25/10/2021</v>
      </c>
      <c r="L1554" t="str">
        <f>"03/01/2021"</f>
        <v>03/01/2021</v>
      </c>
      <c r="M1554" t="str">
        <f>""</f>
        <v/>
      </c>
      <c r="N1554" t="str">
        <f>"Adriatica Commerciale Macchine s.r.l. Via dell'Artigianato 5 35020 Due Carrare PD"</f>
        <v>Adriatica Commerciale Macchine s.r.l. Via dell'Artigianato 5 35020 Due Carrare PD</v>
      </c>
      <c r="O1554" t="str">
        <f>"Adriatica Commerciale Macchine s.r.l. Via dell'Artigianato 5 35020 Due Carrare PD"</f>
        <v>Adriatica Commerciale Macchine s.r.l. Via dell'Artigianato 5 35020 Due Carrare PD</v>
      </c>
      <c r="P1554" t="str">
        <f>"Z371BBC708: [567.70€ ]"</f>
        <v>Z371BBC708: [567.70€ ]</v>
      </c>
      <c r="Q1554" t="str">
        <f>""</f>
        <v/>
      </c>
      <c r="R1554" t="str">
        <f>""</f>
        <v/>
      </c>
      <c r="S1554" t="str">
        <f>""</f>
        <v/>
      </c>
      <c r="T1554" t="str">
        <f>"https://portaletrasparenza.consorziobacchiglione.it/dettagli/attodigara/852/fornitura-materiale-zincato-per-griglia-scolo-gheller-e-monta.html"</f>
        <v>https://portaletrasparenza.consorziobacchiglione.it/dettagli/attodigara/852/fornitura-materiale-zincato-per-griglia-scolo-gheller-e-monta.html</v>
      </c>
      <c r="U1554" t="str">
        <f>""</f>
        <v/>
      </c>
      <c r="V15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55" spans="1:22" x14ac:dyDescent="0.3">
      <c r="A1555" t="str">
        <f>"Affidamento"</f>
        <v>Affidamento</v>
      </c>
      <c r="B1555" t="str">
        <f>"Noleggio vibroinfissore piantapalo Furukawa per lavori scolo Rialto."</f>
        <v>Noleggio vibroinfissore piantapalo Furukawa per lavori scolo Rialto.</v>
      </c>
      <c r="C1555" t="str">
        <f>"Z271BBC2B8"</f>
        <v>Z271BBC2B8</v>
      </c>
      <c r="D1555" t="str">
        <f>"04/11/2021"</f>
        <v>04/11/2021</v>
      </c>
      <c r="E1555" t="str">
        <f>""</f>
        <v/>
      </c>
      <c r="F1555" t="str">
        <f>""</f>
        <v/>
      </c>
      <c r="G1555" t="str">
        <f>"1280.00"</f>
        <v>1280.00</v>
      </c>
      <c r="H1555" t="str">
        <f>"Consorzio di bonifica Bacchiglione"</f>
        <v>Consorzio di bonifica Bacchiglione</v>
      </c>
      <c r="I1555" t="str">
        <f>"92223390284"</f>
        <v>92223390284</v>
      </c>
      <c r="J1555" t="str">
        <f>"23-AFFIDAMENTO DIRETTO"</f>
        <v>23-AFFIDAMENTO DIRETTO</v>
      </c>
      <c r="K1555" t="str">
        <f>"25/10/2021"</f>
        <v>25/10/2021</v>
      </c>
      <c r="L1555" t="str">
        <f>"03/01/2021"</f>
        <v>03/01/2021</v>
      </c>
      <c r="M1555" t="str">
        <f>""</f>
        <v/>
      </c>
      <c r="N1555" t="str">
        <f>"Sorme s.n.c. Via Monache 21 35030 Selvazzano Dentro PD"</f>
        <v>Sorme s.n.c. Via Monache 21 35030 Selvazzano Dentro PD</v>
      </c>
      <c r="O1555" t="str">
        <f>"Sorme s.n.c. Via Monache 21 35030 Selvazzano Dentro PD"</f>
        <v>Sorme s.n.c. Via Monache 21 35030 Selvazzano Dentro PD</v>
      </c>
      <c r="P1555" t="str">
        <f>"Z271BBC2B8: [1280.00€ ]"</f>
        <v>Z271BBC2B8: [1280.00€ ]</v>
      </c>
      <c r="Q1555" t="str">
        <f>""</f>
        <v/>
      </c>
      <c r="R1555" t="str">
        <f>""</f>
        <v/>
      </c>
      <c r="S1555" t="str">
        <f>""</f>
        <v/>
      </c>
      <c r="T1555" t="str">
        <f>"https://portaletrasparenza.consorziobacchiglione.it/dettagli/attodigara/851/noleggio-vibroinfissore-piantapalo-furukawa-per-lavori-scolo-rialto.html"</f>
        <v>https://portaletrasparenza.consorziobacchiglione.it/dettagli/attodigara/851/noleggio-vibroinfissore-piantapalo-furukawa-per-lavori-scolo-rialto.html</v>
      </c>
      <c r="U1555" t="str">
        <f>""</f>
        <v/>
      </c>
      <c r="V15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56" spans="1:22" x14ac:dyDescent="0.3">
      <c r="A1556" t="str">
        <f>"Affidamento"</f>
        <v>Affidamento</v>
      </c>
      <c r="B1556" t="str">
        <f>"FORNITURA DI NUOVO SERVER CATASTALE COMPRENSIVO DI SISTEMA OPERATIVO"</f>
        <v>FORNITURA DI NUOVO SERVER CATASTALE COMPRENSIVO DI SISTEMA OPERATIVO</v>
      </c>
      <c r="C1556" t="str">
        <f>"ZCA1BBD915"</f>
        <v>ZCA1BBD915</v>
      </c>
      <c r="D1556" t="str">
        <f>"04/11/2021"</f>
        <v>04/11/2021</v>
      </c>
      <c r="E1556" t="str">
        <f>""</f>
        <v/>
      </c>
      <c r="F1556" t="str">
        <f>""</f>
        <v/>
      </c>
      <c r="G1556" t="str">
        <f>"11760.00"</f>
        <v>11760.00</v>
      </c>
      <c r="H1556" t="str">
        <f>"Consorzio di bonifica Bacchiglione"</f>
        <v>Consorzio di bonifica Bacchiglione</v>
      </c>
      <c r="I1556" t="str">
        <f>"92223390284"</f>
        <v>92223390284</v>
      </c>
      <c r="J1556" t="str">
        <f>"23-AFFIDAMENTO DIRETTO"</f>
        <v>23-AFFIDAMENTO DIRETTO</v>
      </c>
      <c r="K1556" t="str">
        <f>"25/10/2021"</f>
        <v>25/10/2021</v>
      </c>
      <c r="L1556" t="str">
        <f>"16/02/2021"</f>
        <v>16/02/2021</v>
      </c>
      <c r="M1556" t="str">
        <f>""</f>
        <v/>
      </c>
      <c r="N1556" t="str">
        <f>"TPH ELETTRONICA S.A.S."</f>
        <v>TPH ELETTRONICA S.A.S.</v>
      </c>
      <c r="O1556" t="str">
        <f>"TPH ELETTRONICA S.A.S."</f>
        <v>TPH ELETTRONICA S.A.S.</v>
      </c>
      <c r="P1556" t="str">
        <f>"ZCA1BBD915: [11760.00€ ]"</f>
        <v>ZCA1BBD915: [11760.00€ ]</v>
      </c>
      <c r="Q1556" t="str">
        <f>""</f>
        <v/>
      </c>
      <c r="R1556" t="str">
        <f>""</f>
        <v/>
      </c>
      <c r="S1556" t="str">
        <f>""</f>
        <v/>
      </c>
      <c r="T1556" t="str">
        <f>"https://portaletrasparenza.consorziobacchiglione.it/dettagli/attodigara/850/fornitura-di-nuovo-server-catastale-comprensivo-di-sistema-operativo.html"</f>
        <v>https://portaletrasparenza.consorziobacchiglione.it/dettagli/attodigara/850/fornitura-di-nuovo-server-catastale-comprensivo-di-sistema-operativo.html</v>
      </c>
      <c r="U1556" t="str">
        <f>""</f>
        <v/>
      </c>
      <c r="V155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57" spans="1:22" x14ac:dyDescent="0.3">
      <c r="A1557" t="str">
        <f>"Affidamento"</f>
        <v>Affidamento</v>
      </c>
      <c r="B1557" t="str">
        <f>"Fornitura grasso per mezzi consorziali"</f>
        <v>Fornitura grasso per mezzi consorziali</v>
      </c>
      <c r="C1557" t="str">
        <f>"Z083397B91"</f>
        <v>Z083397B91</v>
      </c>
      <c r="D1557" t="str">
        <f>"26/10/2021"</f>
        <v>26/10/2021</v>
      </c>
      <c r="E1557" t="str">
        <f>""</f>
        <v/>
      </c>
      <c r="F1557" t="str">
        <f>""</f>
        <v/>
      </c>
      <c r="G1557" t="str">
        <f>"11632.70"</f>
        <v>11632.70</v>
      </c>
      <c r="H1557" t="str">
        <f>"Consorzio di bonifica Bacchiglione"</f>
        <v>Consorzio di bonifica Bacchiglione</v>
      </c>
      <c r="I1557" t="str">
        <f>"92223390284"</f>
        <v>92223390284</v>
      </c>
      <c r="J1557" t="str">
        <f>"23-AFFIDAMENTO DIRETTO"</f>
        <v>23-AFFIDAMENTO DIRETTO</v>
      </c>
      <c r="K1557" t="str">
        <f>"25/10/2021"</f>
        <v>25/10/2021</v>
      </c>
      <c r="L1557" t="str">
        <f>"02/11/2021"</f>
        <v>02/11/2021</v>
      </c>
      <c r="M1557" t="str">
        <f>""</f>
        <v/>
      </c>
      <c r="N1557" t="str">
        <f>"Nils S.p.A. Via Stazione 30 39014 Burgstall BZ"</f>
        <v>Nils S.p.A. Via Stazione 30 39014 Burgstall BZ</v>
      </c>
      <c r="O1557" t="str">
        <f>"Nils S.p.A. Via Stazione 30 39014 Burgstall BZ"</f>
        <v>Nils S.p.A. Via Stazione 30 39014 Burgstall BZ</v>
      </c>
      <c r="P1557" t="s">
        <v>161</v>
      </c>
      <c r="Q1557" t="str">
        <f>""</f>
        <v/>
      </c>
      <c r="R1557" t="str">
        <f>""</f>
        <v/>
      </c>
      <c r="S1557" t="str">
        <f>""</f>
        <v/>
      </c>
      <c r="T1557" t="str">
        <f>"https://portaletrasparenza.consorziobacchiglione.it/dettagli/attodigara/7228/fornitura-grasso-per-mezzi-consorziali.html"</f>
        <v>https://portaletrasparenza.consorziobacchiglione.it/dettagli/attodigara/7228/fornitura-grasso-per-mezzi-consorziali.html</v>
      </c>
      <c r="U1557" t="str">
        <f>"https://portaletrasparenza.consorziobacchiglione.it/download/attodigara/7228/63ac45de5fa0d.PDF"</f>
        <v>https://portaletrasparenza.consorziobacchiglione.it/download/attodigara/7228/63ac45de5fa0d.PDF</v>
      </c>
      <c r="V155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58" spans="1:22" x14ac:dyDescent="0.3">
      <c r="A1558" t="str">
        <f>"Affidamento"</f>
        <v>Affidamento</v>
      </c>
      <c r="B1558" t="str">
        <f>"Trasporto escavatore cingolato Hitachi 90 q.li da scolo Altipiano a scolo Drago"</f>
        <v>Trasporto escavatore cingolato Hitachi 90 q.li da scolo Altipiano a scolo Drago</v>
      </c>
      <c r="C1558" t="str">
        <f>"Z0E3399E85"</f>
        <v>Z0E3399E85</v>
      </c>
      <c r="D1558" t="str">
        <f>"26/10/2021"</f>
        <v>26/10/2021</v>
      </c>
      <c r="E1558" t="str">
        <f>""</f>
        <v/>
      </c>
      <c r="F1558" t="str">
        <f>""</f>
        <v/>
      </c>
      <c r="G1558" t="str">
        <f>"180.00"</f>
        <v>180.00</v>
      </c>
      <c r="H1558" t="str">
        <f>"Consorzio di bonifica Bacchiglione"</f>
        <v>Consorzio di bonifica Bacchiglione</v>
      </c>
      <c r="I1558" t="str">
        <f>"92223390284"</f>
        <v>92223390284</v>
      </c>
      <c r="J1558" t="str">
        <f>"23-AFFIDAMENTO DIRETTO"</f>
        <v>23-AFFIDAMENTO DIRETTO</v>
      </c>
      <c r="K1558" t="str">
        <f>"25/10/2021"</f>
        <v>25/10/2021</v>
      </c>
      <c r="L1558" t="str">
        <f>"31/10/2021"</f>
        <v>31/10/2021</v>
      </c>
      <c r="M1558" t="str">
        <f>""</f>
        <v/>
      </c>
      <c r="N1558" t="str">
        <f>"Trovò s.r.l. Via Idrovora, 3 - 35020 Codevigo (PD)"</f>
        <v>Trovò s.r.l. Via Idrovora, 3 - 35020 Codevigo (PD)</v>
      </c>
      <c r="O1558" t="str">
        <f>"Trovò s.r.l. Via Idrovora, 3 - 35020 Codevigo (PD)"</f>
        <v>Trovò s.r.l. Via Idrovora, 3 - 35020 Codevigo (PD)</v>
      </c>
      <c r="P1558" t="s">
        <v>305</v>
      </c>
      <c r="Q1558" t="str">
        <f>""</f>
        <v/>
      </c>
      <c r="R1558" t="str">
        <f>""</f>
        <v/>
      </c>
      <c r="S1558" t="str">
        <f>""</f>
        <v/>
      </c>
      <c r="T1558" t="str">
        <f>"https://portaletrasparenza.consorziobacchiglione.it/dettagli/attodigara/7233/trasporto-escavatore-cingolato-hitachi-90-q-li-da-scolo-altipiano-a-scolo-drago.html"</f>
        <v>https://portaletrasparenza.consorziobacchiglione.it/dettagli/attodigara/7233/trasporto-escavatore-cingolato-hitachi-90-q-li-da-scolo-altipiano-a-scolo-drago.html</v>
      </c>
      <c r="U1558" t="str">
        <f>"https://portaletrasparenza.consorziobacchiglione.it/download/attodigara/7233/63ac45df88b3f.PDF"</f>
        <v>https://portaletrasparenza.consorziobacchiglione.it/download/attodigara/7233/63ac45df88b3f.PDF</v>
      </c>
      <c r="V15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59" spans="1:22" x14ac:dyDescent="0.3">
      <c r="A1559" t="str">
        <f>"Affidamento"</f>
        <v>Affidamento</v>
      </c>
      <c r="B1559" t="str">
        <f>"Corso di formazione per escavatore idraulico, corso per tagliaerba e macchine semoventi idrostatiche per 10 partecipanti"</f>
        <v>Corso di formazione per escavatore idraulico, corso per tagliaerba e macchine semoventi idrostatiche per 10 partecipanti</v>
      </c>
      <c r="C1559" t="str">
        <f>"ZF8339AC91"</f>
        <v>ZF8339AC91</v>
      </c>
      <c r="D1559" t="str">
        <f>"26/10/2021"</f>
        <v>26/10/2021</v>
      </c>
      <c r="E1559" t="str">
        <f>""</f>
        <v/>
      </c>
      <c r="F1559" t="str">
        <f>""</f>
        <v/>
      </c>
      <c r="G1559" t="str">
        <f>"2694.45"</f>
        <v>2694.45</v>
      </c>
      <c r="H1559" t="str">
        <f>"Consorzio di bonifica Bacchiglione"</f>
        <v>Consorzio di bonifica Bacchiglione</v>
      </c>
      <c r="I1559" t="str">
        <f>"92223390284"</f>
        <v>92223390284</v>
      </c>
      <c r="J1559" t="str">
        <f>"23-AFFIDAMENTO DIRETTO"</f>
        <v>23-AFFIDAMENTO DIRETTO</v>
      </c>
      <c r="K1559" t="str">
        <f>"25/10/2021"</f>
        <v>25/10/2021</v>
      </c>
      <c r="L1559" t="str">
        <f>"04/02/2022"</f>
        <v>04/02/2022</v>
      </c>
      <c r="M1559" t="str">
        <f>""</f>
        <v/>
      </c>
      <c r="N1559" t="str">
        <f>"Scuola Edile Padova Via Basilicata 10 35127 (Camin) Padova"</f>
        <v>Scuola Edile Padova Via Basilicata 10 35127 (Camin) Padova</v>
      </c>
      <c r="O1559" t="str">
        <f>"Scuola Edile Padova Via Basilicata 10 35127 (Camin) Padova"</f>
        <v>Scuola Edile Padova Via Basilicata 10 35127 (Camin) Padova</v>
      </c>
      <c r="P1559" t="str">
        <f>"ZF8339AC91: [2694.45€ ]"</f>
        <v>ZF8339AC91: [2694.45€ ]</v>
      </c>
      <c r="Q1559" t="str">
        <f>""</f>
        <v/>
      </c>
      <c r="R1559" t="str">
        <f>""</f>
        <v/>
      </c>
      <c r="S1559" t="str">
        <f>""</f>
        <v/>
      </c>
      <c r="T1559" t="str">
        <f>"https://portaletrasparenza.consorziobacchiglione.it/dettagli/attodigara/7234/corso-di-formazione-per-escavatore-idraulico-corso-per-tagliaerba-e-macchine-semoventi-idrostatiche-per-10-partecipanti.html"</f>
        <v>https://portaletrasparenza.consorziobacchiglione.it/dettagli/attodigara/7234/corso-di-formazione-per-escavatore-idraulico-corso-per-tagliaerba-e-macchine-semoventi-idrostatiche-per-10-partecipanti.html</v>
      </c>
      <c r="U1559" t="str">
        <f>"https://portaletrasparenza.consorziobacchiglione.it/download/attodigara/7234/63ac45dfc1ff6.PDF"</f>
        <v>https://portaletrasparenza.consorziobacchiglione.it/download/attodigara/7234/63ac45dfc1ff6.PDF</v>
      </c>
      <c r="V155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60" spans="1:22" x14ac:dyDescent="0.3">
      <c r="A1560" t="str">
        <f>"Affidamento"</f>
        <v>Affidamento</v>
      </c>
      <c r="B1560" t="str">
        <f>"Tagliando più sostituzione pastiglie freni anteriori/posteriori del mezzo targato: EW924ED"</f>
        <v>Tagliando più sostituzione pastiglie freni anteriori/posteriori del mezzo targato: EW924ED</v>
      </c>
      <c r="C1560" t="str">
        <f>"Z22339972A"</f>
        <v>Z22339972A</v>
      </c>
      <c r="D1560" t="str">
        <f>"26/10/2021"</f>
        <v>26/10/2021</v>
      </c>
      <c r="E1560" t="str">
        <f>""</f>
        <v/>
      </c>
      <c r="F1560" t="str">
        <f>""</f>
        <v/>
      </c>
      <c r="G1560" t="str">
        <f>"410.00"</f>
        <v>410.00</v>
      </c>
      <c r="H1560" t="str">
        <f>"Consorzio di bonifica Bacchiglione"</f>
        <v>Consorzio di bonifica Bacchiglione</v>
      </c>
      <c r="I1560" t="str">
        <f>"92223390284"</f>
        <v>92223390284</v>
      </c>
      <c r="J1560" t="str">
        <f>"23-AFFIDAMENTO DIRETTO"</f>
        <v>23-AFFIDAMENTO DIRETTO</v>
      </c>
      <c r="K1560" t="str">
        <f>"25/10/2021"</f>
        <v>25/10/2021</v>
      </c>
      <c r="L1560" t="str">
        <f>"03/11/2021"</f>
        <v>03/11/2021</v>
      </c>
      <c r="M1560" t="str">
        <f>""</f>
        <v/>
      </c>
      <c r="N1560" t="str">
        <f>"Autoservice sas via Brentella 4 35020 Codevigo PD"</f>
        <v>Autoservice sas via Brentella 4 35020 Codevigo PD</v>
      </c>
      <c r="O1560" t="str">
        <f>"Autoservice sas via Brentella 4 35020 Codevigo PD"</f>
        <v>Autoservice sas via Brentella 4 35020 Codevigo PD</v>
      </c>
      <c r="P1560" t="str">
        <f>"Z22339972A: [410.00€ ]"</f>
        <v>Z22339972A: [410.00€ ]</v>
      </c>
      <c r="Q1560" t="str">
        <f>""</f>
        <v/>
      </c>
      <c r="R1560" t="str">
        <f>""</f>
        <v/>
      </c>
      <c r="S1560" t="str">
        <f>""</f>
        <v/>
      </c>
      <c r="T1560" t="str">
        <f>"https://portaletrasparenza.consorziobacchiglione.it/dettagli/attodigara/7232/tagliando-piu-sostituzione-pastiglie-freni-anteriori-posteriori-del-mezzo-targato-ew924ed.html"</f>
        <v>https://portaletrasparenza.consorziobacchiglione.it/dettagli/attodigara/7232/tagliando-piu-sostituzione-pastiglie-freni-anteriori-posteriori-del-mezzo-targato-ew924ed.html</v>
      </c>
      <c r="U1560" t="str">
        <f>"https://portaletrasparenza.consorziobacchiglione.it/download/attodigara/7232/63ac45df4fc73.PDF"</f>
        <v>https://portaletrasparenza.consorziobacchiglione.it/download/attodigara/7232/63ac45df4fc73.PDF</v>
      </c>
      <c r="V15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61" spans="1:22" x14ac:dyDescent="0.3">
      <c r="A1561" t="str">
        <f>"Affidamento"</f>
        <v>Affidamento</v>
      </c>
      <c r="B1561" t="str">
        <f>"Lavori di sistemazione porta e parapetto su Idrovora del Bernio, ulteriore lavori su canalette a Valli di Chioggia e Roggia Manzere"</f>
        <v>Lavori di sistemazione porta e parapetto su Idrovora del Bernio, ulteriore lavori su canalette a Valli di Chioggia e Roggia Manzere</v>
      </c>
      <c r="C1561" t="str">
        <f>"ZF03398CFF"</f>
        <v>ZF03398CFF</v>
      </c>
      <c r="D1561" t="str">
        <f>"26/10/2021"</f>
        <v>26/10/2021</v>
      </c>
      <c r="E1561" t="str">
        <f>""</f>
        <v/>
      </c>
      <c r="F1561" t="str">
        <f>""</f>
        <v/>
      </c>
      <c r="G1561" t="str">
        <f>"2400.00"</f>
        <v>2400.00</v>
      </c>
      <c r="H1561" t="str">
        <f>"Consorzio di bonifica Bacchiglione"</f>
        <v>Consorzio di bonifica Bacchiglione</v>
      </c>
      <c r="I1561" t="str">
        <f>"92223390284"</f>
        <v>92223390284</v>
      </c>
      <c r="J1561" t="str">
        <f>"23-AFFIDAMENTO DIRETTO"</f>
        <v>23-AFFIDAMENTO DIRETTO</v>
      </c>
      <c r="K1561" t="str">
        <f>"25/10/2021"</f>
        <v>25/10/2021</v>
      </c>
      <c r="L1561" t="str">
        <f>"30/11/2021"</f>
        <v>30/11/2021</v>
      </c>
      <c r="M1561" t="str">
        <f>""</f>
        <v/>
      </c>
      <c r="N1561" t="str">
        <f>"Convento Claudio Via III^ Strada 3 Z.A. 30010 Campolongo Maggiore VE"</f>
        <v>Convento Claudio Via III^ Strada 3 Z.A. 30010 Campolongo Maggiore VE</v>
      </c>
      <c r="O1561" t="str">
        <f>"Convento Claudio Via III^ Strada 3 Z.A. 30010 Campolongo Maggiore VE"</f>
        <v>Convento Claudio Via III^ Strada 3 Z.A. 30010 Campolongo Maggiore VE</v>
      </c>
      <c r="P1561" t="str">
        <f>"ZF03398CFF: [2400.00€ ]"</f>
        <v>ZF03398CFF: [2400.00€ ]</v>
      </c>
      <c r="Q1561" t="str">
        <f>""</f>
        <v/>
      </c>
      <c r="R1561" t="str">
        <f>""</f>
        <v/>
      </c>
      <c r="S1561" t="str">
        <f>""</f>
        <v/>
      </c>
      <c r="T1561" t="str">
        <f>"https://portaletrasparenza.consorziobacchiglione.it/dettagli/attodigara/7231/lavori-di-sistemazione-porta-e-parapetto-su-idrovora-del-bernio-ulteriore-lavori-su-canalette-a-valli-di-chioggia-e-roggia-manzere.html"</f>
        <v>https://portaletrasparenza.consorziobacchiglione.it/dettagli/attodigara/7231/lavori-di-sistemazione-porta-e-parapetto-su-idrovora-del-bernio-ulteriore-lavori-su-canalette-a-valli-di-chioggia-e-roggia-manzere.html</v>
      </c>
      <c r="U1561" t="str">
        <f>"https://portaletrasparenza.consorziobacchiglione.it/download/attodigara/7231/63ac45df16e13.PDF"</f>
        <v>https://portaletrasparenza.consorziobacchiglione.it/download/attodigara/7231/63ac45df16e13.PDF</v>
      </c>
      <c r="V156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62" spans="1:22" x14ac:dyDescent="0.3">
      <c r="A1562" t="str">
        <f>"Affidamento"</f>
        <v>Affidamento</v>
      </c>
      <c r="B1562" t="str">
        <f>"Inversioni e bilanciature gomme su mezzo targato: GD523DZ"</f>
        <v>Inversioni e bilanciature gomme su mezzo targato: GD523DZ</v>
      </c>
      <c r="C1562" t="str">
        <f>"ZB33398561"</f>
        <v>ZB33398561</v>
      </c>
      <c r="D1562" t="str">
        <f>"26/10/2021"</f>
        <v>26/10/2021</v>
      </c>
      <c r="E1562" t="str">
        <f>""</f>
        <v/>
      </c>
      <c r="F1562" t="str">
        <f>""</f>
        <v/>
      </c>
      <c r="G1562" t="str">
        <f>"45.00"</f>
        <v>45.00</v>
      </c>
      <c r="H1562" t="str">
        <f>"Consorzio di bonifica Bacchiglione"</f>
        <v>Consorzio di bonifica Bacchiglione</v>
      </c>
      <c r="I1562" t="str">
        <f>"92223390284"</f>
        <v>92223390284</v>
      </c>
      <c r="J1562" t="str">
        <f>"23-AFFIDAMENTO DIRETTO"</f>
        <v>23-AFFIDAMENTO DIRETTO</v>
      </c>
      <c r="K1562" t="str">
        <f>"25/10/2021"</f>
        <v>25/10/2021</v>
      </c>
      <c r="L1562" t="str">
        <f>"30/11/2021"</f>
        <v>30/11/2021</v>
      </c>
      <c r="M1562" t="str">
        <f>""</f>
        <v/>
      </c>
      <c r="N1562" t="str">
        <f>"Ri.gom.ma S.R.L. Via Orlando, 47 - 30173 Campalto (VE)"</f>
        <v>Ri.gom.ma S.R.L. Via Orlando, 47 - 30173 Campalto (VE)</v>
      </c>
      <c r="O1562" t="str">
        <f>"Ri.gom.ma S.R.L. Via Orlando, 47 - 30173 Campalto (VE)"</f>
        <v>Ri.gom.ma S.R.L. Via Orlando, 47 - 30173 Campalto (VE)</v>
      </c>
      <c r="P1562" t="str">
        <f>"ZB33398561: [45.00€ ]"</f>
        <v>ZB33398561: [45.00€ ]</v>
      </c>
      <c r="Q1562" t="str">
        <f>""</f>
        <v/>
      </c>
      <c r="R1562" t="str">
        <f>""</f>
        <v/>
      </c>
      <c r="S1562" t="str">
        <f>""</f>
        <v/>
      </c>
      <c r="T1562" t="str">
        <f>"https://portaletrasparenza.consorziobacchiglione.it/dettagli/attodigara/7230/inversioni-e-bilanciature-gomme-su-mezzo-targato-gd523dz.html"</f>
        <v>https://portaletrasparenza.consorziobacchiglione.it/dettagli/attodigara/7230/inversioni-e-bilanciature-gomme-su-mezzo-targato-gd523dz.html</v>
      </c>
      <c r="U1562" t="str">
        <f>"https://portaletrasparenza.consorziobacchiglione.it/download/attodigara/7230/63ac45ded1f4d.PDF"</f>
        <v>https://portaletrasparenza.consorziobacchiglione.it/download/attodigara/7230/63ac45ded1f4d.PDF</v>
      </c>
      <c r="V156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63" spans="1:22" x14ac:dyDescent="0.3">
      <c r="A1563" t="str">
        <f>"Affidamento"</f>
        <v>Affidamento</v>
      </c>
      <c r="B1563" t="str">
        <f>"Fornitura inverter serie ATV900 presso Impianto Zena"</f>
        <v>Fornitura inverter serie ATV900 presso Impianto Zena</v>
      </c>
      <c r="C1563" t="str">
        <f>"Z57339841D"</f>
        <v>Z57339841D</v>
      </c>
      <c r="D1563" t="str">
        <f>"26/10/2021"</f>
        <v>26/10/2021</v>
      </c>
      <c r="E1563" t="str">
        <f>""</f>
        <v/>
      </c>
      <c r="F1563" t="str">
        <f>""</f>
        <v/>
      </c>
      <c r="G1563" t="str">
        <f>"1526.00"</f>
        <v>1526.00</v>
      </c>
      <c r="H1563" t="str">
        <f>"Consorzio di bonifica Bacchiglione"</f>
        <v>Consorzio di bonifica Bacchiglione</v>
      </c>
      <c r="I1563" t="str">
        <f>"92223390284"</f>
        <v>92223390284</v>
      </c>
      <c r="J1563" t="str">
        <f>"23-AFFIDAMENTO DIRETTO"</f>
        <v>23-AFFIDAMENTO DIRETTO</v>
      </c>
      <c r="K1563" t="str">
        <f>"25/10/2021"</f>
        <v>25/10/2021</v>
      </c>
      <c r="L1563" t="str">
        <f>"22/02/2022"</f>
        <v>22/02/2022</v>
      </c>
      <c r="M1563" t="str">
        <f>""</f>
        <v/>
      </c>
      <c r="N1563" t="str">
        <f>"SCHNEIDER ELECTRIC S.P.A. Via Circonvallazione Est, 1 - 24040 Stezzano (BG)"</f>
        <v>SCHNEIDER ELECTRIC S.P.A. Via Circonvallazione Est, 1 - 24040 Stezzano (BG)</v>
      </c>
      <c r="O1563" t="str">
        <f>"SCHNEIDER ELECTRIC S.P.A. Via Circonvallazione Est, 1 - 24040 Stezzano (BG)"</f>
        <v>SCHNEIDER ELECTRIC S.P.A. Via Circonvallazione Est, 1 - 24040 Stezzano (BG)</v>
      </c>
      <c r="P1563" t="str">
        <f>"Z57339841D: [1526.00€ ]"</f>
        <v>Z57339841D: [1526.00€ ]</v>
      </c>
      <c r="Q1563" t="str">
        <f>""</f>
        <v/>
      </c>
      <c r="R1563" t="str">
        <f>""</f>
        <v/>
      </c>
      <c r="S1563" t="str">
        <f>""</f>
        <v/>
      </c>
      <c r="T1563" t="str">
        <f>"https://portaletrasparenza.consorziobacchiglione.it/dettagli/attodigara/7229/fornitura-inverter-serie-atv900-presso-impianto-zena.html"</f>
        <v>https://portaletrasparenza.consorziobacchiglione.it/dettagli/attodigara/7229/fornitura-inverter-serie-atv900-presso-impianto-zena.html</v>
      </c>
      <c r="U1563" t="str">
        <f>"https://portaletrasparenza.consorziobacchiglione.it/download/attodigara/7229/63ac45de98e81.PDF"</f>
        <v>https://portaletrasparenza.consorziobacchiglione.it/download/attodigara/7229/63ac45de98e81.PDF</v>
      </c>
      <c r="V15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64" spans="1:22" x14ac:dyDescent="0.3">
      <c r="A1564" t="str">
        <f>"Affidamento"</f>
        <v>Affidamento</v>
      </c>
      <c r="B1564" t="str">
        <f>"Fornitura n 2 bombole gas per pirodiserbo Idrovora Trezze"</f>
        <v>Fornitura n 2 bombole gas per pirodiserbo Idrovora Trezze</v>
      </c>
      <c r="C1564" t="str">
        <f>"ZA71C36CD2"</f>
        <v>ZA71C36CD2</v>
      </c>
      <c r="D1564" t="str">
        <f>"04/11/2021"</f>
        <v>04/11/2021</v>
      </c>
      <c r="E1564" t="str">
        <f>""</f>
        <v/>
      </c>
      <c r="F1564" t="str">
        <f>""</f>
        <v/>
      </c>
      <c r="G1564" t="str">
        <f>"59.51"</f>
        <v>59.51</v>
      </c>
      <c r="H1564" t="str">
        <f>"Consorzio di bonifica Bacchiglione"</f>
        <v>Consorzio di bonifica Bacchiglione</v>
      </c>
      <c r="I1564" t="str">
        <f>"92223390284"</f>
        <v>92223390284</v>
      </c>
      <c r="J1564" t="str">
        <f>"23-AFFIDAMENTO DIRETTO"</f>
        <v>23-AFFIDAMENTO DIRETTO</v>
      </c>
      <c r="K1564" t="str">
        <f>"25/11/2021"</f>
        <v>25/11/2021</v>
      </c>
      <c r="L1564" t="str">
        <f>"31/12/2021"</f>
        <v>31/12/2021</v>
      </c>
      <c r="M1564" t="str">
        <f>""</f>
        <v/>
      </c>
      <c r="N1564" t="str">
        <f>"Gollo Giovanni Via Vallona 65 35020 Conche di Codevigo PD"</f>
        <v>Gollo Giovanni Via Vallona 65 35020 Conche di Codevigo PD</v>
      </c>
      <c r="O1564" t="str">
        <f>"Gollo Giovanni Via Vallona 65 35020 Conche di Codevigo PD"</f>
        <v>Gollo Giovanni Via Vallona 65 35020 Conche di Codevigo PD</v>
      </c>
      <c r="P1564" t="s">
        <v>344</v>
      </c>
      <c r="Q1564" t="str">
        <f>""</f>
        <v/>
      </c>
      <c r="R1564" t="str">
        <f>""</f>
        <v/>
      </c>
      <c r="S1564" t="str">
        <f>""</f>
        <v/>
      </c>
      <c r="T1564" t="str">
        <f>"https://portaletrasparenza.consorziobacchiglione.it/dettagli/attodigara/953/fornitura-n-2-bombole-gas-per-pirodiserbo-idrovora-trezze.html"</f>
        <v>https://portaletrasparenza.consorziobacchiglione.it/dettagli/attodigara/953/fornitura-n-2-bombole-gas-per-pirodiserbo-idrovora-trezze.html</v>
      </c>
      <c r="U1564" t="str">
        <f>""</f>
        <v/>
      </c>
      <c r="V15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65" spans="1:22" x14ac:dyDescent="0.3">
      <c r="A1565" t="str">
        <f>"Affidamento"</f>
        <v>Affidamento</v>
      </c>
      <c r="B1565" t="str">
        <f>"Fornitura Inverter 350KW - pompa 4 Idrovora S.Margherita"</f>
        <v>Fornitura Inverter 350KW - pompa 4 Idrovora S.Margherita</v>
      </c>
      <c r="C1565" t="str">
        <f>"Z101C36B57"</f>
        <v>Z101C36B57</v>
      </c>
      <c r="D1565" t="str">
        <f>"04/11/2021"</f>
        <v>04/11/2021</v>
      </c>
      <c r="E1565" t="str">
        <f>""</f>
        <v/>
      </c>
      <c r="F1565" t="str">
        <f>""</f>
        <v/>
      </c>
      <c r="G1565" t="str">
        <f>"17417.37"</f>
        <v>17417.37</v>
      </c>
      <c r="H1565" t="str">
        <f>"Consorzio di bonifica Bacchiglione"</f>
        <v>Consorzio di bonifica Bacchiglione</v>
      </c>
      <c r="I1565" t="str">
        <f>"92223390284"</f>
        <v>92223390284</v>
      </c>
      <c r="J1565" t="str">
        <f>"23-AFFIDAMENTO DIRETTO"</f>
        <v>23-AFFIDAMENTO DIRETTO</v>
      </c>
      <c r="K1565" t="str">
        <f>"25/11/2021"</f>
        <v>25/11/2021</v>
      </c>
      <c r="L1565" t="str">
        <f>"23/03/2021"</f>
        <v>23/03/2021</v>
      </c>
      <c r="M1565" t="str">
        <f>""</f>
        <v/>
      </c>
      <c r="N1565" t="str">
        <f>"SCHNEIDER ELECTRIC S.P.A. Via Circonvallazione Est, 1 - 24040 Stezzano (BG)"</f>
        <v>SCHNEIDER ELECTRIC S.P.A. Via Circonvallazione Est, 1 - 24040 Stezzano (BG)</v>
      </c>
      <c r="O1565" t="str">
        <f>"SCHNEIDER ELECTRIC S.P.A. Via Circonvallazione Est, 1 - 24040 Stezzano (BG)"</f>
        <v>SCHNEIDER ELECTRIC S.P.A. Via Circonvallazione Est, 1 - 24040 Stezzano (BG)</v>
      </c>
      <c r="P1565" t="str">
        <f>"Z101C36B57: [17417.37€ ]"</f>
        <v>Z101C36B57: [17417.37€ ]</v>
      </c>
      <c r="Q1565" t="str">
        <f>""</f>
        <v/>
      </c>
      <c r="R1565" t="str">
        <f>""</f>
        <v/>
      </c>
      <c r="S1565" t="str">
        <f>""</f>
        <v/>
      </c>
      <c r="T1565" t="str">
        <f>"https://portaletrasparenza.consorziobacchiglione.it/dettagli/attodigara/952/fornitura-inverter-350kw-pompa-4-idrovora-s-margherita.html"</f>
        <v>https://portaletrasparenza.consorziobacchiglione.it/dettagli/attodigara/952/fornitura-inverter-350kw-pompa-4-idrovora-s-margherita.html</v>
      </c>
      <c r="U1565" t="str">
        <f>""</f>
        <v/>
      </c>
      <c r="V15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66" spans="1:22" x14ac:dyDescent="0.3">
      <c r="A1566" t="str">
        <f>"Affidamento"</f>
        <v>Affidamento</v>
      </c>
      <c r="B1566" t="str">
        <f>"Costruzione e montaggio di un setto divisorio E.P.1 - E.P.2 in acciaio inox presso Idrovora Marinelle"</f>
        <v>Costruzione e montaggio di un setto divisorio E.P.1 - E.P.2 in acciaio inox presso Idrovora Marinelle</v>
      </c>
      <c r="C1566" t="str">
        <f>"Z6C1C368AF"</f>
        <v>Z6C1C368AF</v>
      </c>
      <c r="D1566" t="str">
        <f>"04/11/2021"</f>
        <v>04/11/2021</v>
      </c>
      <c r="E1566" t="str">
        <f>""</f>
        <v/>
      </c>
      <c r="F1566" t="str">
        <f>""</f>
        <v/>
      </c>
      <c r="G1566" t="str">
        <f>"4590.00"</f>
        <v>4590.00</v>
      </c>
      <c r="H1566" t="str">
        <f>"Consorzio di bonifica Bacchiglione"</f>
        <v>Consorzio di bonifica Bacchiglione</v>
      </c>
      <c r="I1566" t="str">
        <f>"92223390284"</f>
        <v>92223390284</v>
      </c>
      <c r="J1566" t="str">
        <f>"23-AFFIDAMENTO DIRETTO"</f>
        <v>23-AFFIDAMENTO DIRETTO</v>
      </c>
      <c r="K1566" t="str">
        <f>"25/11/2021"</f>
        <v>25/11/2021</v>
      </c>
      <c r="L1566" t="str">
        <f>"25/01/2021"</f>
        <v>25/01/2021</v>
      </c>
      <c r="M1566" t="str">
        <f>""</f>
        <v/>
      </c>
      <c r="N1566" t="str">
        <f>"Officina Biesse S.n.c. Via Matteotti 24 35020 Arzergrande PD | Moro Meccanica S.R.L. Via Bologna 7 35035 Mestrino PD | Twincad S.R.L. Via Don Milani 1 45100 Rovigo"</f>
        <v>Officina Biesse S.n.c. Via Matteotti 24 35020 Arzergrande PD | Moro Meccanica S.R.L. Via Bologna 7 35035 Mestrino PD | Twincad S.R.L. Via Don Milani 1 45100 Rovigo</v>
      </c>
      <c r="O1566" t="str">
        <f>"Officina Biesse S.n.c. Via Matteotti 24 35020 Arzergrande PD"</f>
        <v>Officina Biesse S.n.c. Via Matteotti 24 35020 Arzergrande PD</v>
      </c>
      <c r="P1566" t="str">
        <f>"Z6C1C368AF: [4590.00€ ]"</f>
        <v>Z6C1C368AF: [4590.00€ ]</v>
      </c>
      <c r="Q1566" t="str">
        <f>""</f>
        <v/>
      </c>
      <c r="R1566" t="str">
        <f>""</f>
        <v/>
      </c>
      <c r="S1566" t="str">
        <f>""</f>
        <v/>
      </c>
      <c r="T1566" t="str">
        <f>"https://portaletrasparenza.consorziobacchiglione.it/dettagli/attodigara/951/costruzione-e-montaggio-di-un-setto-divisorio-e-p-1-e-p-2-in-acciaio-inox-presso-idrovora-marinelle.html"</f>
        <v>https://portaletrasparenza.consorziobacchiglione.it/dettagli/attodigara/951/costruzione-e-montaggio-di-un-setto-divisorio-e-p-1-e-p-2-in-acciaio-inox-presso-idrovora-marinelle.html</v>
      </c>
      <c r="U1566" t="str">
        <f>""</f>
        <v/>
      </c>
      <c r="V156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67" spans="1:22" x14ac:dyDescent="0.3">
      <c r="A1567" t="str">
        <f>"Affidamento"</f>
        <v>Affidamento</v>
      </c>
      <c r="B1567" t="str">
        <f>"Fornitura nuovo panello Emiltouch presso cisterna mobile n.5"</f>
        <v>Fornitura nuovo panello Emiltouch presso cisterna mobile n.5</v>
      </c>
      <c r="C1567" t="str">
        <f>"ZB934163E6"</f>
        <v>ZB934163E6</v>
      </c>
      <c r="D1567" t="str">
        <f>"25/11/2021"</f>
        <v>25/11/2021</v>
      </c>
      <c r="E1567" t="str">
        <f>""</f>
        <v/>
      </c>
      <c r="F1567" t="str">
        <f>""</f>
        <v/>
      </c>
      <c r="G1567" t="str">
        <f>"1100.00"</f>
        <v>1100.00</v>
      </c>
      <c r="H1567" t="str">
        <f>"Consorzio di bonifica Bacchiglione"</f>
        <v>Consorzio di bonifica Bacchiglione</v>
      </c>
      <c r="I1567" t="str">
        <f>"92223390284"</f>
        <v>92223390284</v>
      </c>
      <c r="J1567" t="str">
        <f>"23-AFFIDAMENTO DIRETTO"</f>
        <v>23-AFFIDAMENTO DIRETTO</v>
      </c>
      <c r="K1567" t="str">
        <f>"25/11/2021"</f>
        <v>25/11/2021</v>
      </c>
      <c r="L1567" t="str">
        <f>"13/01/2022"</f>
        <v>13/01/2022</v>
      </c>
      <c r="M1567" t="str">
        <f>""</f>
        <v/>
      </c>
      <c r="N1567" t="str">
        <f>"Emiliana Serbatoi Via Largo Maestri del Lavoro 40 41011 Campogalliano MO"</f>
        <v>Emiliana Serbatoi Via Largo Maestri del Lavoro 40 41011 Campogalliano MO</v>
      </c>
      <c r="O1567" t="str">
        <f>"Emiliana Serbatoi Via Largo Maestri del Lavoro 40 41011 Campogalliano MO"</f>
        <v>Emiliana Serbatoi Via Largo Maestri del Lavoro 40 41011 Campogalliano MO</v>
      </c>
      <c r="P1567" t="str">
        <f>"ZB934163E6: [1100.00€ ]"</f>
        <v>ZB934163E6: [1100.00€ ]</v>
      </c>
      <c r="Q1567" t="str">
        <f>""</f>
        <v/>
      </c>
      <c r="R1567" t="str">
        <f>""</f>
        <v/>
      </c>
      <c r="S1567" t="str">
        <f>""</f>
        <v/>
      </c>
      <c r="T1567" t="str">
        <f>"https://portaletrasparenza.consorziobacchiglione.it/dettagli/attodigara/7310/fornitura-nuovo-panello-emiltouch-presso-cisterna-mobile-n-5.html"</f>
        <v>https://portaletrasparenza.consorziobacchiglione.it/dettagli/attodigara/7310/fornitura-nuovo-panello-emiltouch-presso-cisterna-mobile-n-5.html</v>
      </c>
      <c r="U1567" t="str">
        <f>"https://portaletrasparenza.consorziobacchiglione.it/download/attodigara/7310/63ac45efcd948.PDF"</f>
        <v>https://portaletrasparenza.consorziobacchiglione.it/download/attodigara/7310/63ac45efcd948.PDF</v>
      </c>
      <c r="V156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68" spans="1:22" x14ac:dyDescent="0.3">
      <c r="A1568" t="str">
        <f>"Affidamento"</f>
        <v>Affidamento</v>
      </c>
      <c r="B1568" t="str">
        <f>"Fornitura di n 4 Container Scarrabili e n.1 Container Scarrabile con tetto da posizionarsi presso gli impianti ricadenti all interno del Bacino Sesta Presa, per raccolta materiale derivanti dalle operazioni di sgrigliatu"</f>
        <v>Fornitura di n 4 Container Scarrabili e n.1 Container Scarrabile con tetto da posizionarsi presso gli impianti ricadenti all interno del Bacino Sesta Presa, per raccolta materiale derivanti dalle operazioni di sgrigliatu</v>
      </c>
      <c r="C1568" t="str">
        <f>"ZF53415B8F"</f>
        <v>ZF53415B8F</v>
      </c>
      <c r="D1568" t="str">
        <f>"25/11/2021"</f>
        <v>25/11/2021</v>
      </c>
      <c r="E1568" t="str">
        <f>""</f>
        <v/>
      </c>
      <c r="F1568" t="str">
        <f>""</f>
        <v/>
      </c>
      <c r="G1568" t="str">
        <f>"29830.00"</f>
        <v>29830.00</v>
      </c>
      <c r="H1568" t="str">
        <f>"Consorzio di bonifica Bacchiglione"</f>
        <v>Consorzio di bonifica Bacchiglione</v>
      </c>
      <c r="I1568" t="str">
        <f>"92223390284"</f>
        <v>92223390284</v>
      </c>
      <c r="J1568" t="str">
        <f>"23-AFFIDAMENTO DIRETTO"</f>
        <v>23-AFFIDAMENTO DIRETTO</v>
      </c>
      <c r="K1568" t="str">
        <f>"25/11/2021"</f>
        <v>25/11/2021</v>
      </c>
      <c r="L1568" t="str">
        <f>"27/01/2022"</f>
        <v>27/01/2022</v>
      </c>
      <c r="M1568" t="str">
        <f>""</f>
        <v/>
      </c>
      <c r="N1568" t="str">
        <f>"Carnovali SPA Via Industriale 2 25080 Prevalle BS"</f>
        <v>Carnovali SPA Via Industriale 2 25080 Prevalle BS</v>
      </c>
      <c r="O1568" t="str">
        <f>"Carnovali SPA Via Industriale 2 25080 Prevalle BS"</f>
        <v>Carnovali SPA Via Industriale 2 25080 Prevalle BS</v>
      </c>
      <c r="P1568" t="str">
        <f>"ZF53415B8F: [29830.00€ ]"</f>
        <v>ZF53415B8F: [29830.00€ ]</v>
      </c>
      <c r="Q1568" t="str">
        <f>""</f>
        <v/>
      </c>
      <c r="R1568" t="str">
        <f>""</f>
        <v/>
      </c>
      <c r="S1568" t="str">
        <f>""</f>
        <v/>
      </c>
      <c r="T1568" t="s">
        <v>32</v>
      </c>
      <c r="U1568" t="str">
        <f>"https://portaletrasparenza.consorziobacchiglione.it/download/attodigara/7309/63ac45ef85bce.PDF"</f>
        <v>https://portaletrasparenza.consorziobacchiglione.it/download/attodigara/7309/63ac45ef85bce.PDF</v>
      </c>
      <c r="V15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69" spans="1:22" x14ac:dyDescent="0.3">
      <c r="A1569" t="str">
        <f>"Affidamento"</f>
        <v>Affidamento</v>
      </c>
      <c r="B1569" t="str">
        <f>"Lavori di pulizia chiavica scolo Orsaro e smaltimento del materiale di risulta presso idoneo impianto di trattamento di rifiuti,recupero del materiale derivante dalla pulizia del fosso di Via Magenta oltre che al trasfer"</f>
        <v>Lavori di pulizia chiavica scolo Orsaro e smaltimento del materiale di risulta presso idoneo impianto di trattamento di rifiuti,recupero del materiale derivante dalla pulizia del fosso di Via Magenta oltre che al trasfer</v>
      </c>
      <c r="C1569" t="str">
        <f>"Z68341B01D"</f>
        <v>Z68341B01D</v>
      </c>
      <c r="D1569" t="str">
        <f>"29/11/2021"</f>
        <v>29/11/2021</v>
      </c>
      <c r="E1569" t="str">
        <f>""</f>
        <v/>
      </c>
      <c r="F1569" t="str">
        <f>""</f>
        <v/>
      </c>
      <c r="G1569" t="str">
        <f>"3880.00"</f>
        <v>3880.00</v>
      </c>
      <c r="H1569" t="str">
        <f>"Consorzio di bonifica Bacchiglione"</f>
        <v>Consorzio di bonifica Bacchiglione</v>
      </c>
      <c r="I1569" t="str">
        <f>"92223390284"</f>
        <v>92223390284</v>
      </c>
      <c r="J1569" t="str">
        <f>"23-AFFIDAMENTO DIRETTO"</f>
        <v>23-AFFIDAMENTO DIRETTO</v>
      </c>
      <c r="K1569" t="str">
        <f>"25/11/2021"</f>
        <v>25/11/2021</v>
      </c>
      <c r="L1569" t="str">
        <f>"10/04/2022"</f>
        <v>10/04/2022</v>
      </c>
      <c r="M1569" t="str">
        <f>""</f>
        <v/>
      </c>
      <c r="N1569" t="str">
        <f>"F.lli Gardin S.R.L. Via Caovilla 16 Saonara PD"</f>
        <v>F.lli Gardin S.R.L. Via Caovilla 16 Saonara PD</v>
      </c>
      <c r="O1569" t="str">
        <f>"F.lli Gardin S.R.L. Via Caovilla 16 Saonara PD"</f>
        <v>F.lli Gardin S.R.L. Via Caovilla 16 Saonara PD</v>
      </c>
      <c r="P1569" t="str">
        <f>"Z68341B01D: [3880.00€ ]"</f>
        <v>Z68341B01D: [3880.00€ ]</v>
      </c>
      <c r="Q1569" t="str">
        <f>""</f>
        <v/>
      </c>
      <c r="R1569" t="str">
        <f>""</f>
        <v/>
      </c>
      <c r="S1569" t="str">
        <f>""</f>
        <v/>
      </c>
      <c r="T1569" t="s">
        <v>30</v>
      </c>
      <c r="U1569" t="str">
        <f>"https://portaletrasparenza.consorziobacchiglione.it/download/attodigara/7311/63ac45f04b46f.PDF"</f>
        <v>https://portaletrasparenza.consorziobacchiglione.it/download/attodigara/7311/63ac45f04b46f.PDF</v>
      </c>
      <c r="V156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70" spans="1:22" x14ac:dyDescent="0.3">
      <c r="A1570" t="str">
        <f>"Affidamento"</f>
        <v>Affidamento</v>
      </c>
      <c r="B1570" t="str">
        <f>"Fornitura grigliato metalizzato per copri neon sede Consorziale."</f>
        <v>Fornitura grigliato metalizzato per copri neon sede Consorziale.</v>
      </c>
      <c r="C1570" t="str">
        <f>"Z5318374F1"</f>
        <v>Z5318374F1</v>
      </c>
      <c r="D1570" t="str">
        <f>"04/11/2021"</f>
        <v>04/11/2021</v>
      </c>
      <c r="E1570" t="str">
        <f>""</f>
        <v/>
      </c>
      <c r="F1570" t="str">
        <f>""</f>
        <v/>
      </c>
      <c r="G1570" t="str">
        <f>"755.20"</f>
        <v>755.20</v>
      </c>
      <c r="H1570" t="str">
        <f>"Consorzio di bonifica Bacchiglione"</f>
        <v>Consorzio di bonifica Bacchiglione</v>
      </c>
      <c r="I1570" t="str">
        <f>"92223390284"</f>
        <v>92223390284</v>
      </c>
      <c r="J1570" t="str">
        <f>"23-AFFIDAMENTO DIRETTO"</f>
        <v>23-AFFIDAMENTO DIRETTO</v>
      </c>
      <c r="K1570" t="str">
        <f>"26/01/2021"</f>
        <v>26/01/2021</v>
      </c>
      <c r="L1570" t="str">
        <f>"18/05/2021"</f>
        <v>18/05/2021</v>
      </c>
      <c r="M1570" t="str">
        <f>""</f>
        <v/>
      </c>
      <c r="N1570" t="str">
        <f>"Elettroveneta S.p.A. Viale della Navigazione Interna, 48 - 35129 Padova (PD)"</f>
        <v>Elettroveneta S.p.A. Viale della Navigazione Interna, 48 - 35129 Padova (PD)</v>
      </c>
      <c r="O1570" t="str">
        <f>"Elettroveneta S.p.A. Viale della Navigazione Interna, 48 - 35129 Padova (PD)"</f>
        <v>Elettroveneta S.p.A. Viale della Navigazione Interna, 48 - 35129 Padova (PD)</v>
      </c>
      <c r="P1570" t="str">
        <f>"Z5318374F1: [755.20€ ]"</f>
        <v>Z5318374F1: [755.20€ ]</v>
      </c>
      <c r="Q1570" t="str">
        <f>""</f>
        <v/>
      </c>
      <c r="R1570" t="str">
        <f>""</f>
        <v/>
      </c>
      <c r="S1570" t="str">
        <f>""</f>
        <v/>
      </c>
      <c r="T1570" t="str">
        <f>"https://portaletrasparenza.consorziobacchiglione.it/dettagli/attodigara/93/fornitura-grigliato-metalizzato-per-copri-neon-sede-consorziale.html"</f>
        <v>https://portaletrasparenza.consorziobacchiglione.it/dettagli/attodigara/93/fornitura-grigliato-metalizzato-per-copri-neon-sede-consorziale.html</v>
      </c>
      <c r="U1570" t="str">
        <f>""</f>
        <v/>
      </c>
      <c r="V157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71" spans="1:22" x14ac:dyDescent="0.3">
      <c r="A1571" t="str">
        <f>"Affidamento"</f>
        <v>Affidamento</v>
      </c>
      <c r="B1571" t="str">
        <f>"Fornitura grasso per mezzi Consorziali."</f>
        <v>Fornitura grasso per mezzi Consorziali.</v>
      </c>
      <c r="C1571" t="str">
        <f>"Z75183744D"</f>
        <v>Z75183744D</v>
      </c>
      <c r="D1571" t="str">
        <f>"04/11/2021"</f>
        <v>04/11/2021</v>
      </c>
      <c r="E1571" t="str">
        <f>""</f>
        <v/>
      </c>
      <c r="F1571" t="str">
        <f>""</f>
        <v/>
      </c>
      <c r="G1571" t="str">
        <f>"624.70"</f>
        <v>624.70</v>
      </c>
      <c r="H1571" t="str">
        <f>"Consorzio di bonifica Bacchiglione"</f>
        <v>Consorzio di bonifica Bacchiglione</v>
      </c>
      <c r="I1571" t="str">
        <f>"92223390284"</f>
        <v>92223390284</v>
      </c>
      <c r="J1571" t="str">
        <f>"23-AFFIDAMENTO DIRETTO"</f>
        <v>23-AFFIDAMENTO DIRETTO</v>
      </c>
      <c r="K1571" t="str">
        <f>"26/01/2021"</f>
        <v>26/01/2021</v>
      </c>
      <c r="L1571" t="str">
        <f>"07/03/2021"</f>
        <v>07/03/2021</v>
      </c>
      <c r="M1571" t="str">
        <f>""</f>
        <v/>
      </c>
      <c r="N1571" t="str">
        <f>"Centro Lubrificanti Via Oderzo 48 31040 Mansuè TV"</f>
        <v>Centro Lubrificanti Via Oderzo 48 31040 Mansuè TV</v>
      </c>
      <c r="O1571" t="str">
        <f>"Centro Lubrificanti Via Oderzo 48 31040 Mansuè TV"</f>
        <v>Centro Lubrificanti Via Oderzo 48 31040 Mansuè TV</v>
      </c>
      <c r="P1571" t="str">
        <f>"Z75183744D: [624.70€ ]"</f>
        <v>Z75183744D: [624.70€ ]</v>
      </c>
      <c r="Q1571" t="str">
        <f>""</f>
        <v/>
      </c>
      <c r="R1571" t="str">
        <f>""</f>
        <v/>
      </c>
      <c r="S1571" t="str">
        <f>""</f>
        <v/>
      </c>
      <c r="T1571" t="str">
        <f>"https://portaletrasparenza.consorziobacchiglione.it/dettagli/attodigara/92/fornitura-grasso-per-mezzi-consorziali.html"</f>
        <v>https://portaletrasparenza.consorziobacchiglione.it/dettagli/attodigara/92/fornitura-grasso-per-mezzi-consorziali.html</v>
      </c>
      <c r="U1571" t="str">
        <f>""</f>
        <v/>
      </c>
      <c r="V157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72" spans="1:22" x14ac:dyDescent="0.3">
      <c r="A1572" t="str">
        <f>"Affidamento"</f>
        <v>Affidamento</v>
      </c>
      <c r="B1572" t="str">
        <f>"Lavori di manutenzione e riparazione mezzo con targa DA204YW."</f>
        <v>Lavori di manutenzione e riparazione mezzo con targa DA204YW.</v>
      </c>
      <c r="C1572" t="str">
        <f>"Z681833CD5"</f>
        <v>Z681833CD5</v>
      </c>
      <c r="D1572" t="str">
        <f>"04/11/2021"</f>
        <v>04/11/2021</v>
      </c>
      <c r="E1572" t="str">
        <f>""</f>
        <v/>
      </c>
      <c r="F1572" t="str">
        <f>""</f>
        <v/>
      </c>
      <c r="G1572" t="str">
        <f>"663.93"</f>
        <v>663.93</v>
      </c>
      <c r="H1572" t="str">
        <f>"Consorzio di bonifica Bacchiglione"</f>
        <v>Consorzio di bonifica Bacchiglione</v>
      </c>
      <c r="I1572" t="str">
        <f>"92223390284"</f>
        <v>92223390284</v>
      </c>
      <c r="J1572" t="str">
        <f>"23-AFFIDAMENTO DIRETTO"</f>
        <v>23-AFFIDAMENTO DIRETTO</v>
      </c>
      <c r="K1572" t="str">
        <f>"26/01/2021"</f>
        <v>26/01/2021</v>
      </c>
      <c r="L1572" t="str">
        <f>"26/08/2021"</f>
        <v>26/08/2021</v>
      </c>
      <c r="M1572" t="str">
        <f>""</f>
        <v/>
      </c>
      <c r="N1572" t="str">
        <f>"Vise Elettrocar Via Montagnon 61 35028 Tognana di Piove di Sacco PD"</f>
        <v>Vise Elettrocar Via Montagnon 61 35028 Tognana di Piove di Sacco PD</v>
      </c>
      <c r="O1572" t="str">
        <f>"Vise Elettrocar Via Montagnon 61 35028 Tognana di Piove di Sacco PD"</f>
        <v>Vise Elettrocar Via Montagnon 61 35028 Tognana di Piove di Sacco PD</v>
      </c>
      <c r="P1572" t="str">
        <f>"Z681833CD5: [663.93€ ]"</f>
        <v>Z681833CD5: [663.93€ ]</v>
      </c>
      <c r="Q1572" t="str">
        <f>""</f>
        <v/>
      </c>
      <c r="R1572" t="str">
        <f>""</f>
        <v/>
      </c>
      <c r="S1572" t="str">
        <f>""</f>
        <v/>
      </c>
      <c r="T1572" t="str">
        <f>"https://portaletrasparenza.consorziobacchiglione.it/dettagli/attodigara/91/lavori-di-manutenzione-e-riparazione-mezzo-con-targa-da204yw.html"</f>
        <v>https://portaletrasparenza.consorziobacchiglione.it/dettagli/attodigara/91/lavori-di-manutenzione-e-riparazione-mezzo-con-targa-da204yw.html</v>
      </c>
      <c r="U1572" t="str">
        <f>""</f>
        <v/>
      </c>
      <c r="V157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73" spans="1:22" x14ac:dyDescent="0.3">
      <c r="A1573" t="str">
        <f>"Affidamento"</f>
        <v>Affidamento</v>
      </c>
      <c r="B1573" t="str">
        <f>"Manutenzione e riparazione mezzi con targa: PDAF480, AJP870, EP107XC."</f>
        <v>Manutenzione e riparazione mezzi con targa: PDAF480, AJP870, EP107XC.</v>
      </c>
      <c r="C1573" t="str">
        <f>"Z9E18333DB"</f>
        <v>Z9E18333DB</v>
      </c>
      <c r="D1573" t="str">
        <f>"04/11/2021"</f>
        <v>04/11/2021</v>
      </c>
      <c r="E1573" t="str">
        <f>""</f>
        <v/>
      </c>
      <c r="F1573" t="str">
        <f>""</f>
        <v/>
      </c>
      <c r="G1573" t="str">
        <f>"3376.30"</f>
        <v>3376.30</v>
      </c>
      <c r="H1573" t="str">
        <f>"Consorzio di bonifica Bacchiglione"</f>
        <v>Consorzio di bonifica Bacchiglione</v>
      </c>
      <c r="I1573" t="str">
        <f>"92223390284"</f>
        <v>92223390284</v>
      </c>
      <c r="J1573" t="str">
        <f>"23-AFFIDAMENTO DIRETTO"</f>
        <v>23-AFFIDAMENTO DIRETTO</v>
      </c>
      <c r="K1573" t="str">
        <f>"26/01/2021"</f>
        <v>26/01/2021</v>
      </c>
      <c r="L1573" t="str">
        <f>"22/02/2021"</f>
        <v>22/02/2021</v>
      </c>
      <c r="M1573" t="str">
        <f>""</f>
        <v/>
      </c>
      <c r="N1573" t="str">
        <f>"Officina Biesse S.n.c. Via Matteotti 24 35020 Arzergrande PD"</f>
        <v>Officina Biesse S.n.c. Via Matteotti 24 35020 Arzergrande PD</v>
      </c>
      <c r="O1573" t="str">
        <f>"Officina Biesse S.n.c. Via Matteotti 24 35020 Arzergrande PD"</f>
        <v>Officina Biesse S.n.c. Via Matteotti 24 35020 Arzergrande PD</v>
      </c>
      <c r="P1573" t="str">
        <f>"Z9E18333DB: [3376.30€ ]"</f>
        <v>Z9E18333DB: [3376.30€ ]</v>
      </c>
      <c r="Q1573" t="str">
        <f>""</f>
        <v/>
      </c>
      <c r="R1573" t="str">
        <f>""</f>
        <v/>
      </c>
      <c r="S1573" t="str">
        <f>""</f>
        <v/>
      </c>
      <c r="T1573" t="str">
        <f>"https://portaletrasparenza.consorziobacchiglione.it/dettagli/attodigara/89/manutenzione-e-riparazione-mezzi-con-targa-pdaf480-ajp870-ep107xc.html"</f>
        <v>https://portaletrasparenza.consorziobacchiglione.it/dettagli/attodigara/89/manutenzione-e-riparazione-mezzi-con-targa-pdaf480-ajp870-ep107xc.html</v>
      </c>
      <c r="U1573" t="str">
        <f>""</f>
        <v/>
      </c>
      <c r="V157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74" spans="1:22" x14ac:dyDescent="0.3">
      <c r="A1574" t="str">
        <f>"Affidamento"</f>
        <v>Affidamento</v>
      </c>
      <c r="B1574" t="str">
        <f>"Fornitura batteria per G.E. Cà Nordio, G.E. carrellato C.O.S.Margherita, motobarca n 4, Dayli con targa EP107XC."</f>
        <v>Fornitura batteria per G.E. Cà Nordio, G.E. carrellato C.O.S.Margherita, motobarca n 4, Dayli con targa EP107XC.</v>
      </c>
      <c r="C1574" t="str">
        <f>"Z2218336B6"</f>
        <v>Z2218336B6</v>
      </c>
      <c r="D1574" t="str">
        <f>"04/11/2021"</f>
        <v>04/11/2021</v>
      </c>
      <c r="E1574" t="str">
        <f>""</f>
        <v/>
      </c>
      <c r="F1574" t="str">
        <f>""</f>
        <v/>
      </c>
      <c r="G1574" t="str">
        <f>"663.93"</f>
        <v>663.93</v>
      </c>
      <c r="H1574" t="str">
        <f>"Consorzio di bonifica Bacchiglione"</f>
        <v>Consorzio di bonifica Bacchiglione</v>
      </c>
      <c r="I1574" t="str">
        <f>"92223390284"</f>
        <v>92223390284</v>
      </c>
      <c r="J1574" t="str">
        <f>"23-AFFIDAMENTO DIRETTO"</f>
        <v>23-AFFIDAMENTO DIRETTO</v>
      </c>
      <c r="K1574" t="str">
        <f>"26/01/2021"</f>
        <v>26/01/2021</v>
      </c>
      <c r="L1574" t="str">
        <f>"03/08/2021"</f>
        <v>03/08/2021</v>
      </c>
      <c r="M1574" t="str">
        <f>""</f>
        <v/>
      </c>
      <c r="N1574" t="str">
        <f>"Vise Elettrocar Via Montagnon 61 35028 Tognana di Piove di Sacco PD"</f>
        <v>Vise Elettrocar Via Montagnon 61 35028 Tognana di Piove di Sacco PD</v>
      </c>
      <c r="O1574" t="str">
        <f>"Vise Elettrocar Via Montagnon 61 35028 Tognana di Piove di Sacco PD"</f>
        <v>Vise Elettrocar Via Montagnon 61 35028 Tognana di Piove di Sacco PD</v>
      </c>
      <c r="P1574" t="str">
        <f>"Z2218336B6: [348.91€ ]"</f>
        <v>Z2218336B6: [348.91€ ]</v>
      </c>
      <c r="Q1574" t="str">
        <f>""</f>
        <v/>
      </c>
      <c r="R1574" t="str">
        <f>""</f>
        <v/>
      </c>
      <c r="S1574" t="str">
        <f>""</f>
        <v/>
      </c>
      <c r="T1574" t="str">
        <f>"https://portaletrasparenza.consorziobacchiglione.it/dettagli/attodigara/90/fornitura-batteria-per-g-e-ca-nordio-g-e-carrellato-c-o-s-margherita-motobarca-n-4-dayli-con-targa-ep107xc.html"</f>
        <v>https://portaletrasparenza.consorziobacchiglione.it/dettagli/attodigara/90/fornitura-batteria-per-g-e-ca-nordio-g-e-carrellato-c-o-s-margherita-motobarca-n-4-dayli-con-targa-ep107xc.html</v>
      </c>
      <c r="U1574" t="str">
        <f>""</f>
        <v/>
      </c>
      <c r="V1574">
        <f>(SUBSTITUTE(Tabella1[[#This Row],[Importo di aggiudicazione]],".",","))-(SUBSTITUTE(  SUBSTITUTE(          SUBSTITUTE(Tabella1[[#This Row],[Dettaglio somme liquidate]],Tabella1[[#This Row],[CIG]]&amp;": [",""),"€ ]",""),".",","))</f>
        <v>315.01999999999992</v>
      </c>
    </row>
    <row r="1575" spans="1:22" x14ac:dyDescent="0.3">
      <c r="A1575" t="str">
        <f>"Affidamento"</f>
        <v>Affidamento</v>
      </c>
      <c r="B1575" t="str">
        <f>"Fornitura cavo per inverter pompe presso Impianto Olmo"</f>
        <v>Fornitura cavo per inverter pompe presso Impianto Olmo</v>
      </c>
      <c r="C1575" t="str">
        <f>"Z92305D1F6"</f>
        <v>Z92305D1F6</v>
      </c>
      <c r="D1575" t="str">
        <f>"03/09/2021"</f>
        <v>03/09/2021</v>
      </c>
      <c r="E1575" t="str">
        <f>""</f>
        <v/>
      </c>
      <c r="F1575" t="str">
        <f>""</f>
        <v/>
      </c>
      <c r="G1575" t="str">
        <f>"1989.80"</f>
        <v>1989.80</v>
      </c>
      <c r="H1575" t="str">
        <f>"Consorzio di bonifica Bacchiglione"</f>
        <v>Consorzio di bonifica Bacchiglione</v>
      </c>
      <c r="I1575" t="str">
        <f>"92223390284"</f>
        <v>92223390284</v>
      </c>
      <c r="J1575" t="str">
        <f>"23-AFFIDAMENTO DIRETTO"</f>
        <v>23-AFFIDAMENTO DIRETTO</v>
      </c>
      <c r="K1575" t="str">
        <f>"26/01/2021"</f>
        <v>26/01/2021</v>
      </c>
      <c r="L1575" t="str">
        <f>"31/03/2021"</f>
        <v>31/03/2021</v>
      </c>
      <c r="M1575" t="str">
        <f>""</f>
        <v/>
      </c>
      <c r="N1575" t="str">
        <f>"Elettroveneta S.p.A. Viale della Navigazione Interna, 48 - 35129 Padova (PD)"</f>
        <v>Elettroveneta S.p.A. Viale della Navigazione Interna, 48 - 35129 Padova (PD)</v>
      </c>
      <c r="O1575" t="str">
        <f>"Elettroveneta S.p.A. Viale della Navigazione Interna, 48 - 35129 Padova (PD)"</f>
        <v>Elettroveneta S.p.A. Viale della Navigazione Interna, 48 - 35129 Padova (PD)</v>
      </c>
      <c r="P1575" t="str">
        <f>"Z92305D1F6: [1636.00€ ]"</f>
        <v>Z92305D1F6: [1636.00€ ]</v>
      </c>
      <c r="Q1575" t="str">
        <f>""</f>
        <v/>
      </c>
      <c r="R1575" t="str">
        <f>""</f>
        <v/>
      </c>
      <c r="S1575" t="str">
        <f>""</f>
        <v/>
      </c>
      <c r="T1575" t="str">
        <f>"https://portaletrasparenza.consorziobacchiglione.it/dettagli/attodigara/6582/fornitura-cavo-per-inverter-pompe-presso-impianto-olmo.html"</f>
        <v>https://portaletrasparenza.consorziobacchiglione.it/dettagli/attodigara/6582/fornitura-cavo-per-inverter-pompe-presso-impianto-olmo.html</v>
      </c>
      <c r="U1575" t="str">
        <f>"https://portaletrasparenza.consorziobacchiglione.it/download/attodigara/6582/63ac45bd56c35.PDF"</f>
        <v>https://portaletrasparenza.consorziobacchiglione.it/download/attodigara/6582/63ac45bd56c35.PDF</v>
      </c>
      <c r="V1575">
        <f>(SUBSTITUTE(Tabella1[[#This Row],[Importo di aggiudicazione]],".",","))-(SUBSTITUTE(  SUBSTITUTE(          SUBSTITUTE(Tabella1[[#This Row],[Dettaglio somme liquidate]],Tabella1[[#This Row],[CIG]]&amp;": [",""),"€ ]",""),".",","))</f>
        <v>353.79999999999995</v>
      </c>
    </row>
    <row r="1576" spans="1:22" x14ac:dyDescent="0.3">
      <c r="A1576" t="str">
        <f>"Affidamento"</f>
        <v>Affidamento</v>
      </c>
      <c r="B1576" t="str">
        <f>"Corso di aggiornamento antincedio per n. 2 dipendenti consorziali."</f>
        <v>Corso di aggiornamento antincedio per n. 2 dipendenti consorziali.</v>
      </c>
      <c r="C1576" t="str">
        <f>"ZA6305F0D8"</f>
        <v>ZA6305F0D8</v>
      </c>
      <c r="D1576" t="str">
        <f>"26/01/2021"</f>
        <v>26/01/2021</v>
      </c>
      <c r="E1576" t="str">
        <f>""</f>
        <v/>
      </c>
      <c r="F1576" t="str">
        <f>""</f>
        <v/>
      </c>
      <c r="G1576" t="str">
        <f>"100.00"</f>
        <v>100.00</v>
      </c>
      <c r="H1576" t="str">
        <f>"Consorzio di bonifica Bacchiglione"</f>
        <v>Consorzio di bonifica Bacchiglione</v>
      </c>
      <c r="I1576" t="str">
        <f>"92223390284"</f>
        <v>92223390284</v>
      </c>
      <c r="J1576" t="str">
        <f>"23-AFFIDAMENTO DIRETTO"</f>
        <v>23-AFFIDAMENTO DIRETTO</v>
      </c>
      <c r="K1576" t="str">
        <f>"26/01/2021"</f>
        <v>26/01/2021</v>
      </c>
      <c r="L1576" t="str">
        <f>"12/11/2021"</f>
        <v>12/11/2021</v>
      </c>
      <c r="M1576" t="str">
        <f>""</f>
        <v/>
      </c>
      <c r="N1576" t="str">
        <f>"Bergamaschi Antincendi Antinfortunistica Padova s.r.l. Via G. Galilei 2-I 35030 Caselle di Selvazzano PD"</f>
        <v>Bergamaschi Antincendi Antinfortunistica Padova s.r.l. Via G. Galilei 2-I 35030 Caselle di Selvazzano PD</v>
      </c>
      <c r="O1576" t="str">
        <f>"Bergamaschi Antincendi Antinfortunistica Padova s.r.l. Via G. Galilei 2-I 35030 Caselle di Selvazzano PD"</f>
        <v>Bergamaschi Antincendi Antinfortunistica Padova s.r.l. Via G. Galilei 2-I 35030 Caselle di Selvazzano PD</v>
      </c>
      <c r="P1576" t="str">
        <f>"ZA6305F0D8: [100.00€ ]"</f>
        <v>ZA6305F0D8: [100.00€ ]</v>
      </c>
      <c r="Q1576" t="str">
        <f>""</f>
        <v/>
      </c>
      <c r="R1576" t="str">
        <f>""</f>
        <v/>
      </c>
      <c r="S1576" t="str">
        <f>""</f>
        <v/>
      </c>
      <c r="T1576" t="str">
        <f>"https://portaletrasparenza.consorziobacchiglione.it/dettagli/attodigara/6585/corso-di-aggiornamento-antincedio-per-n-2-dipendenti-consorziali.html"</f>
        <v>https://portaletrasparenza.consorziobacchiglione.it/dettagli/attodigara/6585/corso-di-aggiornamento-antincedio-per-n-2-dipendenti-consorziali.html</v>
      </c>
      <c r="U1576" t="str">
        <f>"https://portaletrasparenza.consorziobacchiglione.it/download/attodigara/6585/63ac4550dcb21.PDF"</f>
        <v>https://portaletrasparenza.consorziobacchiglione.it/download/attodigara/6585/63ac4550dcb21.PDF</v>
      </c>
      <c r="V157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77" spans="1:22" x14ac:dyDescent="0.3">
      <c r="A1577" t="str">
        <f>"Affidamento"</f>
        <v>Affidamento</v>
      </c>
      <c r="B1577" t="str">
        <f>"Fornitura di n.1000 mascherine chirurgiche per C.O.S.Margherita, Bovolenta, Montà Portello"</f>
        <v>Fornitura di n.1000 mascherine chirurgiche per C.O.S.Margherita, Bovolenta, Montà Portello</v>
      </c>
      <c r="C1577" t="str">
        <f>"ZB8305EDDA"</f>
        <v>ZB8305EDDA</v>
      </c>
      <c r="D1577" t="str">
        <f>"26/01/2021"</f>
        <v>26/01/2021</v>
      </c>
      <c r="E1577" t="str">
        <f>""</f>
        <v/>
      </c>
      <c r="F1577" t="str">
        <f>""</f>
        <v/>
      </c>
      <c r="G1577" t="str">
        <f>"120.00"</f>
        <v>120.00</v>
      </c>
      <c r="H1577" t="str">
        <f>"Consorzio di bonifica Bacchiglione"</f>
        <v>Consorzio di bonifica Bacchiglione</v>
      </c>
      <c r="I1577" t="str">
        <f>"92223390284"</f>
        <v>92223390284</v>
      </c>
      <c r="J1577" t="str">
        <f>"23-AFFIDAMENTO DIRETTO"</f>
        <v>23-AFFIDAMENTO DIRETTO</v>
      </c>
      <c r="K1577" t="str">
        <f>"26/01/2021"</f>
        <v>26/01/2021</v>
      </c>
      <c r="L1577" t="str">
        <f>"26/02/2021"</f>
        <v>26/02/2021</v>
      </c>
      <c r="M1577" t="str">
        <f>""</f>
        <v/>
      </c>
      <c r="N1577" t="str">
        <f>"Fip Articoli Tecnici S.r.l. Viale Regione Veneto 9 35127 Padova"</f>
        <v>Fip Articoli Tecnici S.r.l. Viale Regione Veneto 9 35127 Padova</v>
      </c>
      <c r="O1577" t="str">
        <f>"Fip Articoli Tecnici S.r.l. Viale Regione Veneto 9 35127 Padova"</f>
        <v>Fip Articoli Tecnici S.r.l. Viale Regione Veneto 9 35127 Padova</v>
      </c>
      <c r="P1577" t="str">
        <f>"ZB8305EDDA: [120.00€ ]"</f>
        <v>ZB8305EDDA: [120.00€ ]</v>
      </c>
      <c r="Q1577" t="str">
        <f>""</f>
        <v/>
      </c>
      <c r="R1577" t="str">
        <f>""</f>
        <v/>
      </c>
      <c r="S1577" t="str">
        <f>""</f>
        <v/>
      </c>
      <c r="T1577" t="str">
        <f>"https://portaletrasparenza.consorziobacchiglione.it/dettagli/attodigara/6584/fornitura-di-n-1000-mascherine-chirurgiche-per-c-o-s-margherita-bovolenta-monta-portello.html"</f>
        <v>https://portaletrasparenza.consorziobacchiglione.it/dettagli/attodigara/6584/fornitura-di-n-1000-mascherine-chirurgiche-per-c-o-s-margherita-bovolenta-monta-portello.html</v>
      </c>
      <c r="U1577" t="str">
        <f>"https://portaletrasparenza.consorziobacchiglione.it/download/attodigara/6584/63ac4550a466f.PDF"</f>
        <v>https://portaletrasparenza.consorziobacchiglione.it/download/attodigara/6584/63ac4550a466f.PDF</v>
      </c>
      <c r="V15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78" spans="1:22" x14ac:dyDescent="0.3">
      <c r="A1578" t="str">
        <f>"Affidamento"</f>
        <v>Affidamento</v>
      </c>
      <c r="B1578" t="str">
        <f>"Manutenzione e riparazione sgrigliatore presso vari Impianti"</f>
        <v>Manutenzione e riparazione sgrigliatore presso vari Impianti</v>
      </c>
      <c r="C1578" t="str">
        <f>"Z27305C6C5"</f>
        <v>Z27305C6C5</v>
      </c>
      <c r="D1578" t="str">
        <f>"26/01/2021"</f>
        <v>26/01/2021</v>
      </c>
      <c r="E1578" t="str">
        <f>""</f>
        <v/>
      </c>
      <c r="F1578" t="str">
        <f>""</f>
        <v/>
      </c>
      <c r="G1578" t="str">
        <f>"7947.00"</f>
        <v>7947.00</v>
      </c>
      <c r="H1578" t="str">
        <f>"Consorzio di bonifica Bacchiglione"</f>
        <v>Consorzio di bonifica Bacchiglione</v>
      </c>
      <c r="I1578" t="str">
        <f>"92223390284"</f>
        <v>92223390284</v>
      </c>
      <c r="J1578" t="str">
        <f>"23-AFFIDAMENTO DIRETTO"</f>
        <v>23-AFFIDAMENTO DIRETTO</v>
      </c>
      <c r="K1578" t="str">
        <f>"26/01/2021"</f>
        <v>26/01/2021</v>
      </c>
      <c r="L1578" t="str">
        <f>"19/02/2021"</f>
        <v>19/02/2021</v>
      </c>
      <c r="M1578" t="str">
        <f>""</f>
        <v/>
      </c>
      <c r="N1578" t="str">
        <f>"Officina Biesse S.n.c. Via Matteotti 24 35020 Arzergrande PD"</f>
        <v>Officina Biesse S.n.c. Via Matteotti 24 35020 Arzergrande PD</v>
      </c>
      <c r="O1578" t="str">
        <f>"Officina Biesse S.n.c. Via Matteotti 24 35020 Arzergrande PD"</f>
        <v>Officina Biesse S.n.c. Via Matteotti 24 35020 Arzergrande PD</v>
      </c>
      <c r="P1578" t="str">
        <f>"Z27305C6C5: [7947.00€ ]"</f>
        <v>Z27305C6C5: [7947.00€ ]</v>
      </c>
      <c r="Q1578" t="str">
        <f>""</f>
        <v/>
      </c>
      <c r="R1578" t="str">
        <f>""</f>
        <v/>
      </c>
      <c r="S1578" t="str">
        <f>""</f>
        <v/>
      </c>
      <c r="T1578" t="str">
        <f>"https://portaletrasparenza.consorziobacchiglione.it/dettagli/attodigara/6581/manutenzione-e-riparazione-sgrigliatore-presso-vari-impianti.html"</f>
        <v>https://portaletrasparenza.consorziobacchiglione.it/dettagli/attodigara/6581/manutenzione-e-riparazione-sgrigliatore-presso-vari-impianti.html</v>
      </c>
      <c r="U1578" t="str">
        <f>"https://portaletrasparenza.consorziobacchiglione.it/download/attodigara/6581/63ac455033cdc.PDF"</f>
        <v>https://portaletrasparenza.consorziobacchiglione.it/download/attodigara/6581/63ac455033cdc.PDF</v>
      </c>
      <c r="V157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79" spans="1:22" x14ac:dyDescent="0.3">
      <c r="A1579" t="str">
        <f>"Affidamento"</f>
        <v>Affidamento</v>
      </c>
      <c r="B1579" t="str">
        <f>"Canone di 1 anno per piattaforma Newsletter \'Mailup\'"</f>
        <v>Canone di 1 anno per piattaforma Newsletter \'Mailup\'</v>
      </c>
      <c r="C1579" t="str">
        <f>"Z68305B8EA"</f>
        <v>Z68305B8EA</v>
      </c>
      <c r="D1579" t="str">
        <f>"26/01/2021"</f>
        <v>26/01/2021</v>
      </c>
      <c r="E1579" t="str">
        <f>""</f>
        <v/>
      </c>
      <c r="F1579" t="str">
        <f>""</f>
        <v/>
      </c>
      <c r="G1579" t="str">
        <f>"2270.00"</f>
        <v>2270.00</v>
      </c>
      <c r="H1579" t="str">
        <f>"Consorzio di bonifica Bacchiglione"</f>
        <v>Consorzio di bonifica Bacchiglione</v>
      </c>
      <c r="I1579" t="str">
        <f>"92223390284"</f>
        <v>92223390284</v>
      </c>
      <c r="J1579" t="str">
        <f>"23-AFFIDAMENTO DIRETTO"</f>
        <v>23-AFFIDAMENTO DIRETTO</v>
      </c>
      <c r="K1579" t="str">
        <f>"26/01/2021"</f>
        <v>26/01/2021</v>
      </c>
      <c r="L1579" t="str">
        <f>"31/12/2021"</f>
        <v>31/12/2021</v>
      </c>
      <c r="M1579" t="str">
        <f>""</f>
        <v/>
      </c>
      <c r="N1579" t="str">
        <f>"Venice Bay Soc. Coop. Via Torino 186 - 30010 Venezia"</f>
        <v>Venice Bay Soc. Coop. Via Torino 186 - 30010 Venezia</v>
      </c>
      <c r="O1579" t="str">
        <f>"Venice Bay Soc. Coop. Via Torino 186 - 30010 Venezia"</f>
        <v>Venice Bay Soc. Coop. Via Torino 186 - 30010 Venezia</v>
      </c>
      <c r="P1579" t="str">
        <f>"Z68305B8EA: [1720.00€ ]"</f>
        <v>Z68305B8EA: [1720.00€ ]</v>
      </c>
      <c r="Q1579" t="str">
        <f>""</f>
        <v/>
      </c>
      <c r="R1579" t="str">
        <f>""</f>
        <v/>
      </c>
      <c r="S1579" t="str">
        <f>""</f>
        <v/>
      </c>
      <c r="T1579" t="str">
        <f>"https://portaletrasparenza.consorziobacchiglione.it/dettagli/attodigara/6580/canone-di-1-anno-per-piattaforma-newsletter-mailup.html"</f>
        <v>https://portaletrasparenza.consorziobacchiglione.it/dettagli/attodigara/6580/canone-di-1-anno-per-piattaforma-newsletter-mailup.html</v>
      </c>
      <c r="U1579" t="str">
        <f>"https://portaletrasparenza.consorziobacchiglione.it/download/attodigara/6580/63ac454fef925.PDF"</f>
        <v>https://portaletrasparenza.consorziobacchiglione.it/download/attodigara/6580/63ac454fef925.PDF</v>
      </c>
      <c r="V1579">
        <f>(SUBSTITUTE(Tabella1[[#This Row],[Importo di aggiudicazione]],".",","))-(SUBSTITUTE(  SUBSTITUTE(          SUBSTITUTE(Tabella1[[#This Row],[Dettaglio somme liquidate]],Tabella1[[#This Row],[CIG]]&amp;": [",""),"€ ]",""),".",","))</f>
        <v>550</v>
      </c>
    </row>
    <row r="1580" spans="1:22" x14ac:dyDescent="0.3">
      <c r="A1580" t="str">
        <f>"Affidamento"</f>
        <v>Affidamento</v>
      </c>
      <c r="B1580" t="str">
        <f>"Servizi di Vigilanza presso Sede Consorziale per l'anno 2021 e 2022"</f>
        <v>Servizi di Vigilanza presso Sede Consorziale per l'anno 2021 e 2022</v>
      </c>
      <c r="C1580" t="str">
        <f>"Z68305E218"</f>
        <v>Z68305E218</v>
      </c>
      <c r="D1580" t="str">
        <f>"26/01/2021"</f>
        <v>26/01/2021</v>
      </c>
      <c r="E1580" t="str">
        <f>""</f>
        <v/>
      </c>
      <c r="F1580" t="str">
        <f>""</f>
        <v/>
      </c>
      <c r="G1580" t="str">
        <f>"4098.36"</f>
        <v>4098.36</v>
      </c>
      <c r="H1580" t="str">
        <f>"Consorzio di bonifica Bacchiglione"</f>
        <v>Consorzio di bonifica Bacchiglione</v>
      </c>
      <c r="I1580" t="str">
        <f>"92223390284"</f>
        <v>92223390284</v>
      </c>
      <c r="J1580" t="str">
        <f>"23-AFFIDAMENTO DIRETTO"</f>
        <v>23-AFFIDAMENTO DIRETTO</v>
      </c>
      <c r="K1580" t="str">
        <f>"26/01/2021"</f>
        <v>26/01/2021</v>
      </c>
      <c r="L1580" t="str">
        <f>"31/12/2021"</f>
        <v>31/12/2021</v>
      </c>
      <c r="M1580" t="str">
        <f>""</f>
        <v/>
      </c>
      <c r="N1580" t="str">
        <f>"Padova Controlli di Vigilanza Via della Croce Rossa 62-8 35129 Padova"</f>
        <v>Padova Controlli di Vigilanza Via della Croce Rossa 62-8 35129 Padova</v>
      </c>
      <c r="O1580" t="str">
        <f>"Padova Controlli di Vigilanza Via della Croce Rossa 62-8 35129 Padova"</f>
        <v>Padova Controlli di Vigilanza Via della Croce Rossa 62-8 35129 Padova</v>
      </c>
      <c r="P1580" t="str">
        <f>"Z68305E218: [82.80€ ]"</f>
        <v>Z68305E218: [82.80€ ]</v>
      </c>
      <c r="Q1580" t="str">
        <f>""</f>
        <v/>
      </c>
      <c r="R1580" t="str">
        <f>""</f>
        <v/>
      </c>
      <c r="S1580" t="str">
        <f>""</f>
        <v/>
      </c>
      <c r="T1580" t="str">
        <f>"https://portaletrasparenza.consorziobacchiglione.it/dettagli/attodigara/6583/servizi-di-vigilanza-presso-sede-consorziale-per-l-anno-2021-e-2022.html"</f>
        <v>https://portaletrasparenza.consorziobacchiglione.it/dettagli/attodigara/6583/servizi-di-vigilanza-presso-sede-consorziale-per-l-anno-2021-e-2022.html</v>
      </c>
      <c r="U1580" t="str">
        <f>"https://portaletrasparenza.consorziobacchiglione.it/download/attodigara/6583/63ac45506c164.PDF"</f>
        <v>https://portaletrasparenza.consorziobacchiglione.it/download/attodigara/6583/63ac45506c164.PDF</v>
      </c>
      <c r="V1580">
        <f>(SUBSTITUTE(Tabella1[[#This Row],[Importo di aggiudicazione]],".",","))-(SUBSTITUTE(  SUBSTITUTE(          SUBSTITUTE(Tabella1[[#This Row],[Dettaglio somme liquidate]],Tabella1[[#This Row],[CIG]]&amp;": [",""),"€ ]",""),".",","))</f>
        <v>4015.5599999999995</v>
      </c>
    </row>
    <row r="1581" spans="1:22" x14ac:dyDescent="0.3">
      <c r="A1581" t="str">
        <f>"Affidamento"</f>
        <v>Affidamento</v>
      </c>
      <c r="B1581" t="str">
        <f>"Servizi di Vigilanza su Idrovora S.Margherita, Bovolenta, Scolmatore Limenella Fossetta per l'anno 2021 e 2022"</f>
        <v>Servizi di Vigilanza su Idrovora S.Margherita, Bovolenta, Scolmatore Limenella Fossetta per l'anno 2021 e 2022</v>
      </c>
      <c r="C1581" t="str">
        <f>"Z21305F146"</f>
        <v>Z21305F146</v>
      </c>
      <c r="D1581" t="str">
        <f>"26/01/2021"</f>
        <v>26/01/2021</v>
      </c>
      <c r="E1581" t="str">
        <f>""</f>
        <v/>
      </c>
      <c r="F1581" t="str">
        <f>""</f>
        <v/>
      </c>
      <c r="G1581" t="str">
        <f>"8196.72"</f>
        <v>8196.72</v>
      </c>
      <c r="H1581" t="str">
        <f>"Consorzio di bonifica Bacchiglione"</f>
        <v>Consorzio di bonifica Bacchiglione</v>
      </c>
      <c r="I1581" t="str">
        <f>"92223390284"</f>
        <v>92223390284</v>
      </c>
      <c r="J1581" t="str">
        <f>"23-AFFIDAMENTO DIRETTO"</f>
        <v>23-AFFIDAMENTO DIRETTO</v>
      </c>
      <c r="K1581" t="str">
        <f>"26/01/2021"</f>
        <v>26/01/2021</v>
      </c>
      <c r="L1581" t="str">
        <f>"31/12/2021"</f>
        <v>31/12/2021</v>
      </c>
      <c r="M1581" t="str">
        <f>""</f>
        <v/>
      </c>
      <c r="N1581" t="str">
        <f>"Padova Controlli di Vigilanza Via della Croce Rossa 62-8 35129 Padova"</f>
        <v>Padova Controlli di Vigilanza Via della Croce Rossa 62-8 35129 Padova</v>
      </c>
      <c r="O1581" t="str">
        <f>"Padova Controlli di Vigilanza Via della Croce Rossa 62-8 35129 Padova"</f>
        <v>Padova Controlli di Vigilanza Via della Croce Rossa 62-8 35129 Padova</v>
      </c>
      <c r="P1581" t="str">
        <f>"Z21305F146: [158.40€ ]"</f>
        <v>Z21305F146: [158.40€ ]</v>
      </c>
      <c r="Q1581" t="str">
        <f>""</f>
        <v/>
      </c>
      <c r="R1581" t="str">
        <f>""</f>
        <v/>
      </c>
      <c r="S1581" t="str">
        <f>""</f>
        <v/>
      </c>
      <c r="T1581" t="str">
        <f>"https://portaletrasparenza.consorziobacchiglione.it/dettagli/attodigara/6586/servizi-di-vigilanza-su-idrovora-s-margherita-bovolenta-scolmatore-limenella-fossetta-per-l-anno-2021-e-2022.html"</f>
        <v>https://portaletrasparenza.consorziobacchiglione.it/dettagli/attodigara/6586/servizi-di-vigilanza-su-idrovora-s-margherita-bovolenta-scolmatore-limenella-fossetta-per-l-anno-2021-e-2022.html</v>
      </c>
      <c r="U1581" t="str">
        <f>"https://portaletrasparenza.consorziobacchiglione.it/download/attodigara/6586/63ac455120ffb.PDF"</f>
        <v>https://portaletrasparenza.consorziobacchiglione.it/download/attodigara/6586/63ac455120ffb.PDF</v>
      </c>
      <c r="V1581">
        <f>(SUBSTITUTE(Tabella1[[#This Row],[Importo di aggiudicazione]],".",","))-(SUBSTITUTE(  SUBSTITUTE(          SUBSTITUTE(Tabella1[[#This Row],[Dettaglio somme liquidate]],Tabella1[[#This Row],[CIG]]&amp;": [",""),"€ ]",""),".",","))</f>
        <v>8038.32</v>
      </c>
    </row>
    <row r="1582" spans="1:22" x14ac:dyDescent="0.3">
      <c r="A1582" t="str">
        <f>"Affidamento"</f>
        <v>Affidamento</v>
      </c>
      <c r="B1582" t="str">
        <f>"Corso per la Valutazione del rischio incendio e le misure di prevenzione e protezione della durata di 4 ore, valido per aggiornamento delle figure aziendali della sicurezza"</f>
        <v>Corso per la Valutazione del rischio incendio e le misure di prevenzione e protezione della durata di 4 ore, valido per aggiornamento delle figure aziendali della sicurezza</v>
      </c>
      <c r="C1582" t="str">
        <f>"Z26305F590"</f>
        <v>Z26305F590</v>
      </c>
      <c r="D1582" t="str">
        <f>"28/01/2021"</f>
        <v>28/01/2021</v>
      </c>
      <c r="E1582" t="str">
        <f>""</f>
        <v/>
      </c>
      <c r="F1582" t="str">
        <f>""</f>
        <v/>
      </c>
      <c r="G1582" t="str">
        <f>"73.20"</f>
        <v>73.20</v>
      </c>
      <c r="H1582" t="str">
        <f>"Consorzio di bonifica Bacchiglione"</f>
        <v>Consorzio di bonifica Bacchiglione</v>
      </c>
      <c r="I1582" t="str">
        <f>"92223390284"</f>
        <v>92223390284</v>
      </c>
      <c r="J1582" t="str">
        <f>"23-AFFIDAMENTO DIRETTO"</f>
        <v>23-AFFIDAMENTO DIRETTO</v>
      </c>
      <c r="K1582" t="str">
        <f>"26/01/2021"</f>
        <v>26/01/2021</v>
      </c>
      <c r="L1582" t="str">
        <f>"27/02/2021"</f>
        <v>27/02/2021</v>
      </c>
      <c r="M1582" t="str">
        <f>""</f>
        <v/>
      </c>
      <c r="N1582" t="str">
        <f>"Centro di formazione STS s.r.l. Via Romana Aponese 116 35142 Padova"</f>
        <v>Centro di formazione STS s.r.l. Via Romana Aponese 116 35142 Padova</v>
      </c>
      <c r="O1582" t="str">
        <f>"Centro di formazione STS s.r.l. Via Romana Aponese 116 35142 Padova"</f>
        <v>Centro di formazione STS s.r.l. Via Romana Aponese 116 35142 Padova</v>
      </c>
      <c r="P1582" t="str">
        <f>"Z26305F590: [60.00€ ]"</f>
        <v>Z26305F590: [60.00€ ]</v>
      </c>
      <c r="Q1582" t="str">
        <f>""</f>
        <v/>
      </c>
      <c r="R1582" t="str">
        <f>""</f>
        <v/>
      </c>
      <c r="S1582" t="str">
        <f>""</f>
        <v/>
      </c>
      <c r="T1582" t="str">
        <f>"https://portaletrasparenza.consorziobacchiglione.it/dettagli/attodigara/6588/corso-per-la-valutazione-del-rischio-incendio-e-le-misure-di-prevenzione-e-protezione-della-durata-di-4-ore-valido-per-aggiornamento-delle-figure-aziendali-della-sicurezza.html"</f>
        <v>https://portaletrasparenza.consorziobacchiglione.it/dettagli/attodigara/6588/corso-per-la-valutazione-del-rischio-incendio-e-le-misure-di-prevenzione-e-protezione-della-durata-di-4-ore-valido-per-aggiornamento-delle-figure-aziendali-della-sicurezza.html</v>
      </c>
      <c r="U1582" t="str">
        <f>"https://portaletrasparenza.consorziobacchiglione.it/download/attodigara/6588/63ac4551d008a.PDF"</f>
        <v>https://portaletrasparenza.consorziobacchiglione.it/download/attodigara/6588/63ac4551d008a.PDF</v>
      </c>
      <c r="V1582">
        <f>(SUBSTITUTE(Tabella1[[#This Row],[Importo di aggiudicazione]],".",","))-(SUBSTITUTE(  SUBSTITUTE(          SUBSTITUTE(Tabella1[[#This Row],[Dettaglio somme liquidate]],Tabella1[[#This Row],[CIG]]&amp;": [",""),"€ ]",""),".",","))</f>
        <v>13.200000000000003</v>
      </c>
    </row>
    <row r="1583" spans="1:22" x14ac:dyDescent="0.3">
      <c r="A1583" t="str">
        <f>"Affidamento"</f>
        <v>Affidamento</v>
      </c>
      <c r="B1583" t="str">
        <f>"Fornitura del sevizio di connessione dati e telefonia per l'anno 2021."</f>
        <v>Fornitura del sevizio di connessione dati e telefonia per l'anno 2021.</v>
      </c>
      <c r="C1583" t="str">
        <f>"Z52305F5A8"</f>
        <v>Z52305F5A8</v>
      </c>
      <c r="D1583" t="str">
        <f>"28/01/2021"</f>
        <v>28/01/2021</v>
      </c>
      <c r="E1583" t="str">
        <f>""</f>
        <v/>
      </c>
      <c r="F1583" t="str">
        <f>""</f>
        <v/>
      </c>
      <c r="G1583" t="str">
        <f>"32000.00"</f>
        <v>32000.00</v>
      </c>
      <c r="H1583" t="str">
        <f>"Consorzio di bonifica Bacchiglione"</f>
        <v>Consorzio di bonifica Bacchiglione</v>
      </c>
      <c r="I1583" t="str">
        <f>"92223390284"</f>
        <v>92223390284</v>
      </c>
      <c r="J1583" t="str">
        <f>"23-AFFIDAMENTO DIRETTO"</f>
        <v>23-AFFIDAMENTO DIRETTO</v>
      </c>
      <c r="K1583" t="str">
        <f>"26/01/2021"</f>
        <v>26/01/2021</v>
      </c>
      <c r="L1583" t="str">
        <f>"30/11/2022"</f>
        <v>30/11/2022</v>
      </c>
      <c r="M1583" t="str">
        <f>""</f>
        <v/>
      </c>
      <c r="N1583" t="str">
        <f>"Fastweb S.P.A. Piazza Adriano Olivetti 1 - 20139 Milano"</f>
        <v>Fastweb S.P.A. Piazza Adriano Olivetti 1 - 20139 Milano</v>
      </c>
      <c r="O1583" t="str">
        <f>"Fastweb S.P.A. Piazza Adriano Olivetti 1 - 20139 Milano"</f>
        <v>Fastweb S.P.A. Piazza Adriano Olivetti 1 - 20139 Milano</v>
      </c>
      <c r="P1583" t="str">
        <f>"Z52305F5A8: [27631.57€ ]"</f>
        <v>Z52305F5A8: [27631.57€ ]</v>
      </c>
      <c r="Q1583" t="str">
        <f>""</f>
        <v/>
      </c>
      <c r="R1583" t="str">
        <f>""</f>
        <v/>
      </c>
      <c r="S1583" t="str">
        <f>""</f>
        <v/>
      </c>
      <c r="T1583" t="str">
        <f>"https://portaletrasparenza.consorziobacchiglione.it/dettagli/attodigara/6587/fornitura-del-sevizio-di-connessione-dati-e-telefonia-per-l-anno-2021.html"</f>
        <v>https://portaletrasparenza.consorziobacchiglione.it/dettagli/attodigara/6587/fornitura-del-sevizio-di-connessione-dati-e-telefonia-per-l-anno-2021.html</v>
      </c>
      <c r="U1583" t="str">
        <f>"https://portaletrasparenza.consorziobacchiglione.it/download/attodigara/6587/63ac45519770e.PDF"</f>
        <v>https://portaletrasparenza.consorziobacchiglione.it/download/attodigara/6587/63ac45519770e.PDF</v>
      </c>
      <c r="V1583">
        <f>(SUBSTITUTE(Tabella1[[#This Row],[Importo di aggiudicazione]],".",","))-(SUBSTITUTE(  SUBSTITUTE(          SUBSTITUTE(Tabella1[[#This Row],[Dettaglio somme liquidate]],Tabella1[[#This Row],[CIG]]&amp;": [",""),"€ ]",""),".",","))</f>
        <v>4368.43</v>
      </c>
    </row>
    <row r="1584" spans="1:22" x14ac:dyDescent="0.3">
      <c r="A1584" t="str">
        <f>"Affidamento"</f>
        <v>Affidamento</v>
      </c>
      <c r="B1584" t="str">
        <f>"Riparazione elettropompa Flygt n 4 200 kw Idrovora Maestro."</f>
        <v>Riparazione elettropompa Flygt n 4 200 kw Idrovora Maestro.</v>
      </c>
      <c r="C1584" t="str">
        <f>"Z8A18BA25C"</f>
        <v>Z8A18BA25C</v>
      </c>
      <c r="D1584" t="str">
        <f>"04/11/2021"</f>
        <v>04/11/2021</v>
      </c>
      <c r="E1584" t="str">
        <f>""</f>
        <v/>
      </c>
      <c r="F1584" t="str">
        <f>""</f>
        <v/>
      </c>
      <c r="G1584" t="str">
        <f>"14679.00"</f>
        <v>14679.00</v>
      </c>
      <c r="H1584" t="str">
        <f>"Consorzio di bonifica Bacchiglione"</f>
        <v>Consorzio di bonifica Bacchiglione</v>
      </c>
      <c r="I1584" t="str">
        <f>"92223390284"</f>
        <v>92223390284</v>
      </c>
      <c r="J1584" t="str">
        <f>"23-AFFIDAMENTO DIRETTO"</f>
        <v>23-AFFIDAMENTO DIRETTO</v>
      </c>
      <c r="K1584" t="str">
        <f>"26/02/2021"</f>
        <v>26/02/2021</v>
      </c>
      <c r="L1584" t="str">
        <f>"29/07/2021"</f>
        <v>29/07/2021</v>
      </c>
      <c r="M1584" t="str">
        <f>""</f>
        <v/>
      </c>
      <c r="N1584" t="str">
        <f>"Xylem Water Solutions Italia S.r.l. Via Gioacchino Rossini 1A 20020 Lainate MI"</f>
        <v>Xylem Water Solutions Italia S.r.l. Via Gioacchino Rossini 1A 20020 Lainate MI</v>
      </c>
      <c r="O1584" t="str">
        <f>"Xylem Water Solutions Italia S.r.l. Via Gioacchino Rossini 1A 20020 Lainate MI"</f>
        <v>Xylem Water Solutions Italia S.r.l. Via Gioacchino Rossini 1A 20020 Lainate MI</v>
      </c>
      <c r="P1584" t="str">
        <f>"Z8A18BA25C: [14679.00€ ]"</f>
        <v>Z8A18BA25C: [14679.00€ ]</v>
      </c>
      <c r="Q1584" t="str">
        <f>""</f>
        <v/>
      </c>
      <c r="R1584" t="str">
        <f>""</f>
        <v/>
      </c>
      <c r="S1584" t="str">
        <f>""</f>
        <v/>
      </c>
      <c r="T1584" t="str">
        <f>"https://portaletrasparenza.consorziobacchiglione.it/dettagli/attodigara/184/riparazione-elettropompa-flygt-n-4-200-kw-idrovora-maestro.html"</f>
        <v>https://portaletrasparenza.consorziobacchiglione.it/dettagli/attodigara/184/riparazione-elettropompa-flygt-n-4-200-kw-idrovora-maestro.html</v>
      </c>
      <c r="U1584" t="str">
        <f>""</f>
        <v/>
      </c>
      <c r="V15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85" spans="1:22" x14ac:dyDescent="0.3">
      <c r="A1585" t="str">
        <f>"Affidamento"</f>
        <v>Affidamento</v>
      </c>
      <c r="B1585" t="str">
        <f>"Fornitura materiale vario per motosega C.O.S.Margherita."</f>
        <v>Fornitura materiale vario per motosega C.O.S.Margherita.</v>
      </c>
      <c r="C1585" t="str">
        <f>"Z7E18BA116"</f>
        <v>Z7E18BA116</v>
      </c>
      <c r="D1585" t="str">
        <f>"04/11/2021"</f>
        <v>04/11/2021</v>
      </c>
      <c r="E1585" t="str">
        <f>""</f>
        <v/>
      </c>
      <c r="F1585" t="str">
        <f>""</f>
        <v/>
      </c>
      <c r="G1585" t="str">
        <f>"68.85"</f>
        <v>68.85</v>
      </c>
      <c r="H1585" t="str">
        <f>"Consorzio di bonifica Bacchiglione"</f>
        <v>Consorzio di bonifica Bacchiglione</v>
      </c>
      <c r="I1585" t="str">
        <f>"92223390284"</f>
        <v>92223390284</v>
      </c>
      <c r="J1585" t="str">
        <f>"23-AFFIDAMENTO DIRETTO"</f>
        <v>23-AFFIDAMENTO DIRETTO</v>
      </c>
      <c r="K1585" t="str">
        <f>"26/02/2021"</f>
        <v>26/02/2021</v>
      </c>
      <c r="L1585" t="str">
        <f>"29/03/2021"</f>
        <v>29/03/2021</v>
      </c>
      <c r="M1585" t="str">
        <f>""</f>
        <v/>
      </c>
      <c r="N1585" t="str">
        <f>"Frizzarin Riccardo Via Papa Giovanni XXXIII 20 35026 Conselve PD"</f>
        <v>Frizzarin Riccardo Via Papa Giovanni XXXIII 20 35026 Conselve PD</v>
      </c>
      <c r="O1585" t="str">
        <f>"Frizzarin Riccardo Via Papa Giovanni XXXIII 20 35026 Conselve PD"</f>
        <v>Frizzarin Riccardo Via Papa Giovanni XXXIII 20 35026 Conselve PD</v>
      </c>
      <c r="P1585" t="str">
        <f>"Z7E18BA116: [68.85€ ]"</f>
        <v>Z7E18BA116: [68.85€ ]</v>
      </c>
      <c r="Q1585" t="str">
        <f>""</f>
        <v/>
      </c>
      <c r="R1585" t="str">
        <f>""</f>
        <v/>
      </c>
      <c r="S1585" t="str">
        <f>""</f>
        <v/>
      </c>
      <c r="T1585" t="str">
        <f>"https://portaletrasparenza.consorziobacchiglione.it/dettagli/attodigara/183/fornitura-materiale-vario-per-motosega-c-o-s-margherita.html"</f>
        <v>https://portaletrasparenza.consorziobacchiglione.it/dettagli/attodigara/183/fornitura-materiale-vario-per-motosega-c-o-s-margherita.html</v>
      </c>
      <c r="U1585" t="str">
        <f>""</f>
        <v/>
      </c>
      <c r="V15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86" spans="1:22" x14ac:dyDescent="0.3">
      <c r="A1586" t="str">
        <f>"Affidamento"</f>
        <v>Affidamento</v>
      </c>
      <c r="B1586" t="str">
        <f>"Noleggio miniescavatore cingolato Takeuchi TB230, minipala Bobcat per bacino di arrivo Idrovora Madonnetta e scolo Biancolino."</f>
        <v>Noleggio miniescavatore cingolato Takeuchi TB230, minipala Bobcat per bacino di arrivo Idrovora Madonnetta e scolo Biancolino.</v>
      </c>
      <c r="C1586" t="str">
        <f>"Z5918B9B09"</f>
        <v>Z5918B9B09</v>
      </c>
      <c r="D1586" t="str">
        <f>"04/11/2021"</f>
        <v>04/11/2021</v>
      </c>
      <c r="E1586" t="str">
        <f>""</f>
        <v/>
      </c>
      <c r="F1586" t="str">
        <f>""</f>
        <v/>
      </c>
      <c r="G1586" t="str">
        <f>"3460.00"</f>
        <v>3460.00</v>
      </c>
      <c r="H1586" t="str">
        <f>"Consorzio di bonifica Bacchiglione"</f>
        <v>Consorzio di bonifica Bacchiglione</v>
      </c>
      <c r="I1586" t="str">
        <f>"92223390284"</f>
        <v>92223390284</v>
      </c>
      <c r="J1586" t="str">
        <f>"23-AFFIDAMENTO DIRETTO"</f>
        <v>23-AFFIDAMENTO DIRETTO</v>
      </c>
      <c r="K1586" t="str">
        <f>"26/02/2021"</f>
        <v>26/02/2021</v>
      </c>
      <c r="L1586" t="str">
        <f>"14/04/2021"</f>
        <v>14/04/2021</v>
      </c>
      <c r="M1586" t="str">
        <f>""</f>
        <v/>
      </c>
      <c r="N1586" t="str">
        <f>"Sorme Noleggi s.a.s. Via Monache 21 35030 Selvazzano Dentro PD"</f>
        <v>Sorme Noleggi s.a.s. Via Monache 21 35030 Selvazzano Dentro PD</v>
      </c>
      <c r="O1586" t="str">
        <f>"Sorme Noleggi s.a.s. Via Monache 21 35030 Selvazzano Dentro PD"</f>
        <v>Sorme Noleggi s.a.s. Via Monache 21 35030 Selvazzano Dentro PD</v>
      </c>
      <c r="P1586" t="str">
        <f>"Z5918B9B09: [3460.00€ ]"</f>
        <v>Z5918B9B09: [3460.00€ ]</v>
      </c>
      <c r="Q1586" t="str">
        <f>""</f>
        <v/>
      </c>
      <c r="R1586" t="str">
        <f>""</f>
        <v/>
      </c>
      <c r="S1586" t="str">
        <f>""</f>
        <v/>
      </c>
      <c r="T1586" t="str">
        <f>"https://portaletrasparenza.consorziobacchiglione.it/dettagli/attodigara/182/noleggio-miniescavatore-cingolato-takeuchi-tb230-minipala-bobcat-per-bacino-di-arrivo-idrovora-madonnetta-e-scolo-biancolino.html"</f>
        <v>https://portaletrasparenza.consorziobacchiglione.it/dettagli/attodigara/182/noleggio-miniescavatore-cingolato-takeuchi-tb230-minipala-bobcat-per-bacino-di-arrivo-idrovora-madonnetta-e-scolo-biancolino.html</v>
      </c>
      <c r="U1586" t="str">
        <f>""</f>
        <v/>
      </c>
      <c r="V158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87" spans="1:22" x14ac:dyDescent="0.3">
      <c r="A1587" t="str">
        <f>"Affidamento"</f>
        <v>Affidamento</v>
      </c>
      <c r="B1587" t="str">
        <f>"Fornitura materiale edile o di ferramenta per bacino Sesta Presa."</f>
        <v>Fornitura materiale edile o di ferramenta per bacino Sesta Presa.</v>
      </c>
      <c r="C1587" t="str">
        <f>"Z7918B8B26"</f>
        <v>Z7918B8B26</v>
      </c>
      <c r="D1587" t="str">
        <f>"04/11/2021"</f>
        <v>04/11/2021</v>
      </c>
      <c r="E1587" t="str">
        <f>""</f>
        <v/>
      </c>
      <c r="F1587" t="str">
        <f>""</f>
        <v/>
      </c>
      <c r="G1587" t="str">
        <f>"577.12"</f>
        <v>577.12</v>
      </c>
      <c r="H1587" t="str">
        <f>"Consorzio di bonifica Bacchiglione"</f>
        <v>Consorzio di bonifica Bacchiglione</v>
      </c>
      <c r="I1587" t="str">
        <f>"92223390284"</f>
        <v>92223390284</v>
      </c>
      <c r="J1587" t="str">
        <f>"23-AFFIDAMENTO DIRETTO"</f>
        <v>23-AFFIDAMENTO DIRETTO</v>
      </c>
      <c r="K1587" t="str">
        <f>"26/02/2021"</f>
        <v>26/02/2021</v>
      </c>
      <c r="L1587" t="str">
        <f>"10/03/2021"</f>
        <v>10/03/2021</v>
      </c>
      <c r="M1587" t="str">
        <f>""</f>
        <v/>
      </c>
      <c r="N1587" t="str">
        <f>"Gollo Giovanni Via Vallona 65 35020 Conche di Codevigo PD"</f>
        <v>Gollo Giovanni Via Vallona 65 35020 Conche di Codevigo PD</v>
      </c>
      <c r="O1587" t="str">
        <f>"Gollo Giovanni Via Vallona 65 35020 Conche di Codevigo PD"</f>
        <v>Gollo Giovanni Via Vallona 65 35020 Conche di Codevigo PD</v>
      </c>
      <c r="P1587" t="str">
        <f>"Z7918B8B26: [577.12€ ]"</f>
        <v>Z7918B8B26: [577.12€ ]</v>
      </c>
      <c r="Q1587" t="str">
        <f>""</f>
        <v/>
      </c>
      <c r="R1587" t="str">
        <f>""</f>
        <v/>
      </c>
      <c r="S1587" t="str">
        <f>""</f>
        <v/>
      </c>
      <c r="T1587" t="str">
        <f>"https://portaletrasparenza.consorziobacchiglione.it/dettagli/attodigara/181/fornitura-materiale-edile-o-di-ferramenta-per-bacino-sesta-presa.html"</f>
        <v>https://portaletrasparenza.consorziobacchiglione.it/dettagli/attodigara/181/fornitura-materiale-edile-o-di-ferramenta-per-bacino-sesta-presa.html</v>
      </c>
      <c r="U1587" t="str">
        <f>""</f>
        <v/>
      </c>
      <c r="V15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88" spans="1:22" x14ac:dyDescent="0.3">
      <c r="A1588" t="str">
        <f>"Affidamento"</f>
        <v>Affidamento</v>
      </c>
      <c r="B1588" t="str">
        <f>"Noleggio di Gruppo Elettrogeno d'emergenza per impianto Scolmatore Limenella Fossetta - Processo ID 006-03."</f>
        <v>Noleggio di Gruppo Elettrogeno d'emergenza per impianto Scolmatore Limenella Fossetta - Processo ID 006-03.</v>
      </c>
      <c r="C1588" t="str">
        <f>"ZE618BBA2D"</f>
        <v>ZE618BBA2D</v>
      </c>
      <c r="D1588" t="str">
        <f>"04/11/2021"</f>
        <v>04/11/2021</v>
      </c>
      <c r="E1588" t="str">
        <f>""</f>
        <v/>
      </c>
      <c r="F1588" t="str">
        <f>""</f>
        <v/>
      </c>
      <c r="G1588" t="str">
        <f>"2335.34"</f>
        <v>2335.34</v>
      </c>
      <c r="H1588" t="str">
        <f>"Consorzio di bonifica Bacchiglione"</f>
        <v>Consorzio di bonifica Bacchiglione</v>
      </c>
      <c r="I1588" t="str">
        <f>"92223390284"</f>
        <v>92223390284</v>
      </c>
      <c r="J1588" t="str">
        <f>"23-AFFIDAMENTO DIRETTO"</f>
        <v>23-AFFIDAMENTO DIRETTO</v>
      </c>
      <c r="K1588" t="str">
        <f>"26/02/2021"</f>
        <v>26/02/2021</v>
      </c>
      <c r="L1588" t="str">
        <f>"31/03/2021"</f>
        <v>31/03/2021</v>
      </c>
      <c r="M1588" t="str">
        <f>""</f>
        <v/>
      </c>
      <c r="N1588" t="str">
        <f>"ETS Engine Technology Solutions Srl"</f>
        <v>ETS Engine Technology Solutions Srl</v>
      </c>
      <c r="O1588" t="str">
        <f>"ETS Engine Technology Solutions Srl"</f>
        <v>ETS Engine Technology Solutions Srl</v>
      </c>
      <c r="P1588" t="str">
        <f>"ZE618BBA2D: [2335.33€ ]"</f>
        <v>ZE618BBA2D: [2335.33€ ]</v>
      </c>
      <c r="Q1588" t="str">
        <f>""</f>
        <v/>
      </c>
      <c r="R1588" t="str">
        <f>""</f>
        <v/>
      </c>
      <c r="S1588" t="str">
        <f>""</f>
        <v/>
      </c>
      <c r="T1588" t="str">
        <f>"https://portaletrasparenza.consorziobacchiglione.it/dettagli/attodigara/180/noleggio-di-gruppo-elettrogeno-d-emergenza-per-impianto-scolmatore-limenella-fossetta-processo-id-006-03.html"</f>
        <v>https://portaletrasparenza.consorziobacchiglione.it/dettagli/attodigara/180/noleggio-di-gruppo-elettrogeno-d-emergenza-per-impianto-scolmatore-limenella-fossetta-processo-id-006-03.html</v>
      </c>
      <c r="U1588" t="str">
        <f>""</f>
        <v/>
      </c>
      <c r="V1588">
        <f>(SUBSTITUTE(Tabella1[[#This Row],[Importo di aggiudicazione]],".",","))-(SUBSTITUTE(  SUBSTITUTE(          SUBSTITUTE(Tabella1[[#This Row],[Dettaglio somme liquidate]],Tabella1[[#This Row],[CIG]]&amp;": [",""),"€ ]",""),".",","))</f>
        <v>1.0000000000218279E-2</v>
      </c>
    </row>
    <row r="1589" spans="1:22" x14ac:dyDescent="0.3">
      <c r="A1589" t="str">
        <f>"Affidamento"</f>
        <v>Affidamento</v>
      </c>
      <c r="B1589" t="str">
        <f>"Noleggio escavatore Volvo ECR 88D più battipalo per lavori di sistemazione presso scolo Marinelle"</f>
        <v>Noleggio escavatore Volvo ECR 88D più battipalo per lavori di sistemazione presso scolo Marinelle</v>
      </c>
      <c r="C1589" t="str">
        <f>"Z6130CF031"</f>
        <v>Z6130CF031</v>
      </c>
      <c r="D1589" t="str">
        <f>"04/03/2021"</f>
        <v>04/03/2021</v>
      </c>
      <c r="E1589" t="str">
        <f>""</f>
        <v/>
      </c>
      <c r="F1589" t="str">
        <f>""</f>
        <v/>
      </c>
      <c r="G1589" t="str">
        <f>"3108.75"</f>
        <v>3108.75</v>
      </c>
      <c r="H1589" t="str">
        <f>"Consorzio di bonifica Bacchiglione"</f>
        <v>Consorzio di bonifica Bacchiglione</v>
      </c>
      <c r="I1589" t="str">
        <f>"92223390284"</f>
        <v>92223390284</v>
      </c>
      <c r="J1589" t="str">
        <f>"23-AFFIDAMENTO DIRETTO"</f>
        <v>23-AFFIDAMENTO DIRETTO</v>
      </c>
      <c r="K1589" t="str">
        <f>"26/02/2021"</f>
        <v>26/02/2021</v>
      </c>
      <c r="L1589" t="str">
        <f>"31/03/2021"</f>
        <v>31/03/2021</v>
      </c>
      <c r="M1589" t="str">
        <f>""</f>
        <v/>
      </c>
      <c r="N1589" t="str">
        <f>"Foredil S.r.l. Via E.Fermi, 22 - 35030 Sarmeola di Rubano (PD)"</f>
        <v>Foredil S.r.l. Via E.Fermi, 22 - 35030 Sarmeola di Rubano (PD)</v>
      </c>
      <c r="O1589" t="str">
        <f>"Foredil S.r.l. Via E.Fermi, 22 - 35030 Sarmeola di Rubano (PD)"</f>
        <v>Foredil S.r.l. Via E.Fermi, 22 - 35030 Sarmeola di Rubano (PD)</v>
      </c>
      <c r="P1589" t="str">
        <f>"Z6130CF031: [3108.75€ ]"</f>
        <v>Z6130CF031: [3108.75€ ]</v>
      </c>
      <c r="Q1589" t="str">
        <f>""</f>
        <v/>
      </c>
      <c r="R1589" t="str">
        <f>""</f>
        <v/>
      </c>
      <c r="S1589" t="str">
        <f>""</f>
        <v/>
      </c>
      <c r="T1589" t="str">
        <f>"https://portaletrasparenza.consorziobacchiglione.it/dettagli/attodigara/6663/noleggio-escavatore-volvo-ecr-88d-piu-battipalo-per-lavori-di-sistemazione-presso-scolo-marinelle.html"</f>
        <v>https://portaletrasparenza.consorziobacchiglione.it/dettagli/attodigara/6663/noleggio-escavatore-volvo-ecr-88d-piu-battipalo-per-lavori-di-sistemazione-presso-scolo-marinelle.html</v>
      </c>
      <c r="U1589" t="str">
        <f>"https://portaletrasparenza.consorziobacchiglione.it/download/attodigara/6663/63ac4564b2eca.PDF"</f>
        <v>https://portaletrasparenza.consorziobacchiglione.it/download/attodigara/6663/63ac4564b2eca.PDF</v>
      </c>
      <c r="V15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90" spans="1:22" x14ac:dyDescent="0.3">
      <c r="A1590" t="str">
        <f>"Affidamento"</f>
        <v>Affidamento</v>
      </c>
      <c r="B1590" t="str">
        <f>"Lavori di fornitura e installazione nuova paratoia presso scolo Grisa"</f>
        <v>Lavori di fornitura e installazione nuova paratoia presso scolo Grisa</v>
      </c>
      <c r="C1590" t="str">
        <f>"Z0C30CEAEE"</f>
        <v>Z0C30CEAEE</v>
      </c>
      <c r="D1590" t="str">
        <f>"26/02/2021"</f>
        <v>26/02/2021</v>
      </c>
      <c r="E1590" t="str">
        <f>""</f>
        <v/>
      </c>
      <c r="F1590" t="str">
        <f>""</f>
        <v/>
      </c>
      <c r="G1590" t="str">
        <f>"5800.00"</f>
        <v>5800.00</v>
      </c>
      <c r="H1590" t="str">
        <f>"Consorzio di bonifica Bacchiglione"</f>
        <v>Consorzio di bonifica Bacchiglione</v>
      </c>
      <c r="I1590" t="str">
        <f>"92223390284"</f>
        <v>92223390284</v>
      </c>
      <c r="J1590" t="str">
        <f>"23-AFFIDAMENTO DIRETTO"</f>
        <v>23-AFFIDAMENTO DIRETTO</v>
      </c>
      <c r="K1590" t="str">
        <f>"26/02/2021"</f>
        <v>26/02/2021</v>
      </c>
      <c r="L1590" t="str">
        <f>"16/04/2021"</f>
        <v>16/04/2021</v>
      </c>
      <c r="M1590" t="str">
        <f>""</f>
        <v/>
      </c>
      <c r="N1590" t="str">
        <f>"F.lli Scapin S.R.L. Viale dell' Artigianato 67 35013 Cittadella PD"</f>
        <v>F.lli Scapin S.R.L. Viale dell' Artigianato 67 35013 Cittadella PD</v>
      </c>
      <c r="O1590" t="str">
        <f>"F.lli Scapin S.R.L. Viale dell' Artigianato 67 35013 Cittadella PD"</f>
        <v>F.lli Scapin S.R.L. Viale dell' Artigianato 67 35013 Cittadella PD</v>
      </c>
      <c r="P1590" t="str">
        <f>"Z0C30CEAEE: [5800.00€ ]"</f>
        <v>Z0C30CEAEE: [5800.00€ ]</v>
      </c>
      <c r="Q1590" t="str">
        <f>""</f>
        <v/>
      </c>
      <c r="R1590" t="str">
        <f>""</f>
        <v/>
      </c>
      <c r="S1590" t="str">
        <f>""</f>
        <v/>
      </c>
      <c r="T1590" t="str">
        <f>"https://portaletrasparenza.consorziobacchiglione.it/dettagli/attodigara/6662/lavori-di-fornitura-e-installazione-nuova-paratoia-presso-scolo-grisa.html"</f>
        <v>https://portaletrasparenza.consorziobacchiglione.it/dettagli/attodigara/6662/lavori-di-fornitura-e-installazione-nuova-paratoia-presso-scolo-grisa.html</v>
      </c>
      <c r="U1590" t="str">
        <f>"https://portaletrasparenza.consorziobacchiglione.it/download/attodigara/6662/63ac456297357.PDF"</f>
        <v>https://portaletrasparenza.consorziobacchiglione.it/download/attodigara/6662/63ac456297357.PDF</v>
      </c>
      <c r="V15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91" spans="1:22" x14ac:dyDescent="0.3">
      <c r="A1591" t="str">
        <f>"Affidamento"</f>
        <v>Affidamento</v>
      </c>
      <c r="B1591" t="str">
        <f>"Ripresa spondale in SX e DX idraulica dello scolo Brentella, a monte del sostegno Vasi di Bojon, in comune di Campolongo Maggiore (VE)"</f>
        <v>Ripresa spondale in SX e DX idraulica dello scolo Brentella, a monte del sostegno Vasi di Bojon, in comune di Campolongo Maggiore (VE)</v>
      </c>
      <c r="C1591" t="str">
        <f>"Z1530CDEA6"</f>
        <v>Z1530CDEA6</v>
      </c>
      <c r="D1591" t="str">
        <f>"26/02/2021"</f>
        <v>26/02/2021</v>
      </c>
      <c r="E1591" t="str">
        <f>""</f>
        <v/>
      </c>
      <c r="F1591" t="str">
        <f>""</f>
        <v/>
      </c>
      <c r="G1591" t="str">
        <f>"30485.04"</f>
        <v>30485.04</v>
      </c>
      <c r="H1591" t="str">
        <f>"Consorzio di bonifica Bacchiglione"</f>
        <v>Consorzio di bonifica Bacchiglione</v>
      </c>
      <c r="I1591" t="str">
        <f>"92223390284"</f>
        <v>92223390284</v>
      </c>
      <c r="J1591" t="str">
        <f>"23-AFFIDAMENTO DIRETTO"</f>
        <v>23-AFFIDAMENTO DIRETTO</v>
      </c>
      <c r="K1591" t="str">
        <f>"26/02/2021"</f>
        <v>26/02/2021</v>
      </c>
      <c r="L1591" t="str">
        <f>"24/03/2022"</f>
        <v>24/03/2022</v>
      </c>
      <c r="M1591" t="str">
        <f>""</f>
        <v/>
      </c>
      <c r="N1591" t="str">
        <f>"Serma Costruzioni S.r.l. via Mioranese 343 - 30174 (VE) | Marinello Carlo Via Brentella, 18 -35020 Codevigo (PD) | Grinzato Silvio Via Alto Adige, 109 30010 Campolongo Maggiore (VE)"</f>
        <v>Serma Costruzioni S.r.l. via Mioranese 343 - 30174 (VE) | Marinello Carlo Via Brentella, 18 -35020 Codevigo (PD) | Grinzato Silvio Via Alto Adige, 109 30010 Campolongo Maggiore (VE)</v>
      </c>
      <c r="O1591" t="str">
        <f>"Serma Costruzioni S.r.l. via Mioranese 343 - 30174 (VE)"</f>
        <v>Serma Costruzioni S.r.l. via Mioranese 343 - 30174 (VE)</v>
      </c>
      <c r="P1591" t="str">
        <f>"Z1530CDEA6: [29687.54€ ]"</f>
        <v>Z1530CDEA6: [29687.54€ ]</v>
      </c>
      <c r="Q1591" t="str">
        <f>""</f>
        <v/>
      </c>
      <c r="R1591" t="str">
        <f>""</f>
        <v/>
      </c>
      <c r="S1591" t="str">
        <f>""</f>
        <v/>
      </c>
      <c r="T1591" t="str">
        <f>"https://portaletrasparenza.consorziobacchiglione.it/dettagli/attodigara/6661/ripresa-spondale-in-sx-e-dx-idraulica-dello-scolo-brentella-a-monte-del-sostegno-vasi-di-bojon-in-comune-di-campolongo-maggiore-ve.html"</f>
        <v>https://portaletrasparenza.consorziobacchiglione.it/dettagli/attodigara/6661/ripresa-spondale-in-sx-e-dx-idraulica-dello-scolo-brentella-a-monte-del-sostegno-vasi-di-bojon-in-comune-di-campolongo-maggiore-ve.html</v>
      </c>
      <c r="U1591" t="str">
        <f>"https://portaletrasparenza.consorziobacchiglione.it/download/attodigara/6661/63ac45625e9aa.PDF"</f>
        <v>https://portaletrasparenza.consorziobacchiglione.it/download/attodigara/6661/63ac45625e9aa.PDF</v>
      </c>
      <c r="V1591">
        <f>(SUBSTITUTE(Tabella1[[#This Row],[Importo di aggiudicazione]],".",","))-(SUBSTITUTE(  SUBSTITUTE(          SUBSTITUTE(Tabella1[[#This Row],[Dettaglio somme liquidate]],Tabella1[[#This Row],[CIG]]&amp;": [",""),"€ ]",""),".",","))</f>
        <v>797.5</v>
      </c>
    </row>
    <row r="1592" spans="1:22" x14ac:dyDescent="0.3">
      <c r="A1592" t="str">
        <f>"Affidamento"</f>
        <v>Affidamento</v>
      </c>
      <c r="B1592" t="str">
        <f>"Produzione DVD del documentario sui \'Lavori di ripristino e adeguamento delle arginature del nodo idraulico di Montegrotto Terme\' con stampa libretto e copertina"</f>
        <v>Produzione DVD del documentario sui \'Lavori di ripristino e adeguamento delle arginature del nodo idraulico di Montegrotto Terme\' con stampa libretto e copertina</v>
      </c>
      <c r="C1592" t="str">
        <f>"ZA2312682C"</f>
        <v>ZA2312682C</v>
      </c>
      <c r="D1592" t="str">
        <f>"26/03/2021"</f>
        <v>26/03/2021</v>
      </c>
      <c r="E1592" t="str">
        <f>""</f>
        <v/>
      </c>
      <c r="F1592" t="str">
        <f>""</f>
        <v/>
      </c>
      <c r="G1592" t="str">
        <f>"1750.00"</f>
        <v>1750.00</v>
      </c>
      <c r="H1592" t="str">
        <f>"Consorzio di bonifica Bacchiglione"</f>
        <v>Consorzio di bonifica Bacchiglione</v>
      </c>
      <c r="I1592" t="str">
        <f>"92223390284"</f>
        <v>92223390284</v>
      </c>
      <c r="J1592" t="str">
        <f>"23-AFFIDAMENTO DIRETTO"</f>
        <v>23-AFFIDAMENTO DIRETTO</v>
      </c>
      <c r="K1592" t="str">
        <f>"26/03/2021"</f>
        <v>26/03/2021</v>
      </c>
      <c r="L1592" t="str">
        <f>"14/06/2021"</f>
        <v>14/06/2021</v>
      </c>
      <c r="M1592" t="str">
        <f>""</f>
        <v/>
      </c>
      <c r="N1592" t="str">
        <f>"CLEUP COOPERATIVA LIBRARIA EDITRICE"</f>
        <v>CLEUP COOPERATIVA LIBRARIA EDITRICE</v>
      </c>
      <c r="O1592" t="str">
        <f>"CLEUP COOPERATIVA LIBRARIA EDITRICE"</f>
        <v>CLEUP COOPERATIVA LIBRARIA EDITRICE</v>
      </c>
      <c r="P1592" t="str">
        <f>"ZA2312682C: [1750.00€ ]"</f>
        <v>ZA2312682C: [1750.00€ ]</v>
      </c>
      <c r="Q1592" t="str">
        <f>""</f>
        <v/>
      </c>
      <c r="R1592" t="str">
        <f>""</f>
        <v/>
      </c>
      <c r="S1592" t="str">
        <f>""</f>
        <v/>
      </c>
      <c r="T1592" t="str">
        <f>"https://portaletrasparenza.consorziobacchiglione.it/dettagli/attodigara/6739/produzione-dvd-del-documentario-sui-lavori-di-ripristino-e-adeguamento-delle-arginature-del-nodo-idraulico-di-montegrotto-terme-con-stampa-libretto-e-copertina.html"</f>
        <v>https://portaletrasparenza.consorziobacchiglione.it/dettagli/attodigara/6739/produzione-dvd-del-documentario-sui-lavori-di-ripristino-e-adeguamento-delle-arginature-del-nodo-idraulico-di-montegrotto-terme-con-stampa-libretto-e-copertina.html</v>
      </c>
      <c r="U1592" t="str">
        <f>"https://portaletrasparenza.consorziobacchiglione.it/download/attodigara/6739/63ac457323d0d.PDF"</f>
        <v>https://portaletrasparenza.consorziobacchiglione.it/download/attodigara/6739/63ac457323d0d.PDF</v>
      </c>
      <c r="V159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93" spans="1:22" x14ac:dyDescent="0.3">
      <c r="A1593" t="str">
        <f>"Affidamento"</f>
        <v>Affidamento</v>
      </c>
      <c r="B1593" t="str">
        <f>"Fornitura profili Pehd 1000 verde per paratoie Montalbano."</f>
        <v>Fornitura profili Pehd 1000 verde per paratoie Montalbano.</v>
      </c>
      <c r="C1593" t="str">
        <f>"Z90199891E"</f>
        <v>Z90199891E</v>
      </c>
      <c r="D1593" t="str">
        <f>"04/11/2021"</f>
        <v>04/11/2021</v>
      </c>
      <c r="E1593" t="str">
        <f>""</f>
        <v/>
      </c>
      <c r="F1593" t="str">
        <f>""</f>
        <v/>
      </c>
      <c r="G1593" t="str">
        <f>"1350.00"</f>
        <v>1350.00</v>
      </c>
      <c r="H1593" t="str">
        <f>"Consorzio di bonifica Bacchiglione"</f>
        <v>Consorzio di bonifica Bacchiglione</v>
      </c>
      <c r="I1593" t="str">
        <f>"92223390284"</f>
        <v>92223390284</v>
      </c>
      <c r="J1593" t="str">
        <f>"23-AFFIDAMENTO DIRETTO"</f>
        <v>23-AFFIDAMENTO DIRETTO</v>
      </c>
      <c r="K1593" t="str">
        <f>"26/04/2021"</f>
        <v>26/04/2021</v>
      </c>
      <c r="L1593" t="str">
        <f>"11/05/2021"</f>
        <v>11/05/2021</v>
      </c>
      <c r="M1593" t="str">
        <f>""</f>
        <v/>
      </c>
      <c r="N1593" t="str">
        <f>"G.B. PLAST s.r.l. Via Bolzani 123 35020 Maserà PD"</f>
        <v>G.B. PLAST s.r.l. Via Bolzani 123 35020 Maserà PD</v>
      </c>
      <c r="O1593" t="str">
        <f>"G.B. PLAST s.r.l. Via Bolzani 123 35020 Maserà PD"</f>
        <v>G.B. PLAST s.r.l. Via Bolzani 123 35020 Maserà PD</v>
      </c>
      <c r="P1593" t="str">
        <f>"Z90199891E: [1350.00€ ]"</f>
        <v>Z90199891E: [1350.00€ ]</v>
      </c>
      <c r="Q1593" t="str">
        <f>""</f>
        <v/>
      </c>
      <c r="R1593" t="str">
        <f>""</f>
        <v/>
      </c>
      <c r="S1593" t="str">
        <f>""</f>
        <v/>
      </c>
      <c r="T1593" t="str">
        <f>"https://portaletrasparenza.consorziobacchiglione.it/dettagli/attodigara/361/fornitura-profili-pehd-1000-verde-per-paratoie-montalbano.html"</f>
        <v>https://portaletrasparenza.consorziobacchiglione.it/dettagli/attodigara/361/fornitura-profili-pehd-1000-verde-per-paratoie-montalbano.html</v>
      </c>
      <c r="U1593" t="str">
        <f>""</f>
        <v/>
      </c>
      <c r="V15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94" spans="1:22" x14ac:dyDescent="0.3">
      <c r="A1594" t="str">
        <f>"Affidamento"</f>
        <v>Affidamento</v>
      </c>
      <c r="B1594" t="str">
        <f>"Fornitura materiale edile per Bacino Sesta Presa e Pratiarcati."</f>
        <v>Fornitura materiale edile per Bacino Sesta Presa e Pratiarcati.</v>
      </c>
      <c r="C1594" t="str">
        <f>"ZF81994DE3"</f>
        <v>ZF81994DE3</v>
      </c>
      <c r="D1594" t="str">
        <f>"04/11/2021"</f>
        <v>04/11/2021</v>
      </c>
      <c r="E1594" t="str">
        <f>""</f>
        <v/>
      </c>
      <c r="F1594" t="str">
        <f>""</f>
        <v/>
      </c>
      <c r="G1594" t="str">
        <f>"1187.33"</f>
        <v>1187.33</v>
      </c>
      <c r="H1594" t="str">
        <f>"Consorzio di bonifica Bacchiglione"</f>
        <v>Consorzio di bonifica Bacchiglione</v>
      </c>
      <c r="I1594" t="str">
        <f>"92223390284"</f>
        <v>92223390284</v>
      </c>
      <c r="J1594" t="str">
        <f>"23-AFFIDAMENTO DIRETTO"</f>
        <v>23-AFFIDAMENTO DIRETTO</v>
      </c>
      <c r="K1594" t="str">
        <f>"26/04/2021"</f>
        <v>26/04/2021</v>
      </c>
      <c r="L1594" t="str">
        <f>"30/06/2021"</f>
        <v>30/06/2021</v>
      </c>
      <c r="M1594" t="str">
        <f>""</f>
        <v/>
      </c>
      <c r="N1594" t="str">
        <f>"Idronord s.r.l. Via delle Industrie 3C 30036 Santa Maria Di Sala VE"</f>
        <v>Idronord s.r.l. Via delle Industrie 3C 30036 Santa Maria Di Sala VE</v>
      </c>
      <c r="O1594" t="str">
        <f>"Idronord s.r.l. Via delle Industrie 3C 30036 Santa Maria Di Sala VE"</f>
        <v>Idronord s.r.l. Via delle Industrie 3C 30036 Santa Maria Di Sala VE</v>
      </c>
      <c r="P1594" t="str">
        <f>"ZF81994DE3: [1187.33€ ]"</f>
        <v>ZF81994DE3: [1187.33€ ]</v>
      </c>
      <c r="Q1594" t="str">
        <f>""</f>
        <v/>
      </c>
      <c r="R1594" t="str">
        <f>""</f>
        <v/>
      </c>
      <c r="S1594" t="str">
        <f>""</f>
        <v/>
      </c>
      <c r="T1594" t="str">
        <f>"https://portaletrasparenza.consorziobacchiglione.it/dettagli/attodigara/360/fornitura-materiale-edile-per-bacino-sesta-presa-e-pratiarcati.html"</f>
        <v>https://portaletrasparenza.consorziobacchiglione.it/dettagli/attodigara/360/fornitura-materiale-edile-per-bacino-sesta-presa-e-pratiarcati.html</v>
      </c>
      <c r="U1594" t="str">
        <f>""</f>
        <v/>
      </c>
      <c r="V159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95" spans="1:22" x14ac:dyDescent="0.3">
      <c r="A1595" t="str">
        <f>"Affidamento"</f>
        <v>Affidamento</v>
      </c>
      <c r="B1595" t="str">
        <f>"Fornitura sasso per scolo Cornio di Celeseo e scolo Volparo."</f>
        <v>Fornitura sasso per scolo Cornio di Celeseo e scolo Volparo.</v>
      </c>
      <c r="C1595" t="str">
        <f>"Z291994A0F"</f>
        <v>Z291994A0F</v>
      </c>
      <c r="D1595" t="str">
        <f>"04/11/2021"</f>
        <v>04/11/2021</v>
      </c>
      <c r="E1595" t="str">
        <f>""</f>
        <v/>
      </c>
      <c r="F1595" t="str">
        <f>""</f>
        <v/>
      </c>
      <c r="G1595" t="str">
        <f>"3888.06"</f>
        <v>3888.06</v>
      </c>
      <c r="H1595" t="str">
        <f>"Consorzio di bonifica Bacchiglione"</f>
        <v>Consorzio di bonifica Bacchiglione</v>
      </c>
      <c r="I1595" t="str">
        <f>"92223390284"</f>
        <v>92223390284</v>
      </c>
      <c r="J1595" t="str">
        <f>"23-AFFIDAMENTO DIRETTO"</f>
        <v>23-AFFIDAMENTO DIRETTO</v>
      </c>
      <c r="K1595" t="str">
        <f>"26/04/2021"</f>
        <v>26/04/2021</v>
      </c>
      <c r="L1595" t="str">
        <f>"09/06/2021"</f>
        <v>09/06/2021</v>
      </c>
      <c r="M1595" t="str">
        <f>""</f>
        <v/>
      </c>
      <c r="N1595" t="str">
        <f>"Trovò s.r.l. Via Idrovora, 3 - 35020 Codevigo (PD)"</f>
        <v>Trovò s.r.l. Via Idrovora, 3 - 35020 Codevigo (PD)</v>
      </c>
      <c r="O1595" t="str">
        <f>"Trovò s.r.l. Via Idrovora, 3 - 35020 Codevigo (PD)"</f>
        <v>Trovò s.r.l. Via Idrovora, 3 - 35020 Codevigo (PD)</v>
      </c>
      <c r="P1595" t="str">
        <f>"Z291994A0F: [3888.06€ ]"</f>
        <v>Z291994A0F: [3888.06€ ]</v>
      </c>
      <c r="Q1595" t="str">
        <f>""</f>
        <v/>
      </c>
      <c r="R1595" t="str">
        <f>""</f>
        <v/>
      </c>
      <c r="S1595" t="str">
        <f>""</f>
        <v/>
      </c>
      <c r="T1595" t="str">
        <f>"https://portaletrasparenza.consorziobacchiglione.it/dettagli/attodigara/359/fornitura-sasso-per-scolo-cornio-di-celeseo-e-scolo-volparo.html"</f>
        <v>https://portaletrasparenza.consorziobacchiglione.it/dettagli/attodigara/359/fornitura-sasso-per-scolo-cornio-di-celeseo-e-scolo-volparo.html</v>
      </c>
      <c r="U1595" t="str">
        <f>""</f>
        <v/>
      </c>
      <c r="V159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96" spans="1:22" x14ac:dyDescent="0.3">
      <c r="A1596" t="str">
        <f>"Affidamento"</f>
        <v>Affidamento</v>
      </c>
      <c r="B1596" t="str">
        <f>"Trasporto escavatore cingolato dallo scolo Piovego a scolo Condotto di Bojon."</f>
        <v>Trasporto escavatore cingolato dallo scolo Piovego a scolo Condotto di Bojon.</v>
      </c>
      <c r="C1596" t="str">
        <f>"Z5D1994863"</f>
        <v>Z5D1994863</v>
      </c>
      <c r="D1596" t="str">
        <f>"04/11/2021"</f>
        <v>04/11/2021</v>
      </c>
      <c r="E1596" t="str">
        <f>""</f>
        <v/>
      </c>
      <c r="F1596" t="str">
        <f>""</f>
        <v/>
      </c>
      <c r="G1596" t="str">
        <f>"165.00"</f>
        <v>165.00</v>
      </c>
      <c r="H1596" t="str">
        <f>"Consorzio di bonifica Bacchiglione"</f>
        <v>Consorzio di bonifica Bacchiglione</v>
      </c>
      <c r="I1596" t="str">
        <f>"92223390284"</f>
        <v>92223390284</v>
      </c>
      <c r="J1596" t="str">
        <f>"23-AFFIDAMENTO DIRETTO"</f>
        <v>23-AFFIDAMENTO DIRETTO</v>
      </c>
      <c r="K1596" t="str">
        <f>"26/04/2021"</f>
        <v>26/04/2021</v>
      </c>
      <c r="L1596" t="str">
        <f>"09/06/2021"</f>
        <v>09/06/2021</v>
      </c>
      <c r="M1596" t="str">
        <f>""</f>
        <v/>
      </c>
      <c r="N1596" t="str">
        <f>"Trovò s.r.l. Via Idrovora, 3 - 35020 Codevigo (PD)"</f>
        <v>Trovò s.r.l. Via Idrovora, 3 - 35020 Codevigo (PD)</v>
      </c>
      <c r="O1596" t="str">
        <f>"Trovò s.r.l. Via Idrovora, 3 - 35020 Codevigo (PD)"</f>
        <v>Trovò s.r.l. Via Idrovora, 3 - 35020 Codevigo (PD)</v>
      </c>
      <c r="P1596" t="str">
        <f>"Z5D1994863: [165.00€ ]"</f>
        <v>Z5D1994863: [165.00€ ]</v>
      </c>
      <c r="Q1596" t="str">
        <f>""</f>
        <v/>
      </c>
      <c r="R1596" t="str">
        <f>""</f>
        <v/>
      </c>
      <c r="S1596" t="str">
        <f>""</f>
        <v/>
      </c>
      <c r="T1596" t="str">
        <f>"https://portaletrasparenza.consorziobacchiglione.it/dettagli/attodigara/358/trasporto-escavatore-cingolato-dallo-scolo-piovego-a-scolo-condotto-di-bojon.html"</f>
        <v>https://portaletrasparenza.consorziobacchiglione.it/dettagli/attodigara/358/trasporto-escavatore-cingolato-dallo-scolo-piovego-a-scolo-condotto-di-bojon.html</v>
      </c>
      <c r="U1596" t="str">
        <f>""</f>
        <v/>
      </c>
      <c r="V159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97" spans="1:22" x14ac:dyDescent="0.3">
      <c r="A1597" t="str">
        <f>"Affidamento"</f>
        <v>Affidamento</v>
      </c>
      <c r="B1597" t="str">
        <f>"Maggiori lavorazioni per la bonifica BCM nell'area ex Cava Morandi e nelle aree di attraversamento delle strade comunali - interferenti il tracciato dello scolmatore - per il frazionamento degli interventi con il traccia"</f>
        <v>Maggiori lavorazioni per la bonifica BCM nell'area ex Cava Morandi e nelle aree di attraversamento delle strade comunali - interferenti il tracciato dello scolmatore - per il frazionamento degli interventi con il traccia</v>
      </c>
      <c r="C1597" t="str">
        <f>"Z161997FC4"</f>
        <v>Z161997FC4</v>
      </c>
      <c r="D1597" t="str">
        <f>"04/11/2021"</f>
        <v>04/11/2021</v>
      </c>
      <c r="E1597" t="str">
        <f>""</f>
        <v/>
      </c>
      <c r="F1597" t="str">
        <f>""</f>
        <v/>
      </c>
      <c r="G1597" t="str">
        <f>"18467.50"</f>
        <v>18467.50</v>
      </c>
      <c r="H1597" t="str">
        <f>"Consorzio di bonifica Bacchiglione"</f>
        <v>Consorzio di bonifica Bacchiglione</v>
      </c>
      <c r="I1597" t="str">
        <f>"92223390284"</f>
        <v>92223390284</v>
      </c>
      <c r="J1597" t="str">
        <f>"23-AFFIDAMENTO DIRETTO"</f>
        <v>23-AFFIDAMENTO DIRETTO</v>
      </c>
      <c r="K1597" t="str">
        <f>"26/04/2021"</f>
        <v>26/04/2021</v>
      </c>
      <c r="L1597" t="str">
        <f>"17/05/2021"</f>
        <v>17/05/2021</v>
      </c>
      <c r="M1597" t="str">
        <f>""</f>
        <v/>
      </c>
      <c r="N1597" t="str">
        <f>"Sogelma S.r.l."</f>
        <v>Sogelma S.r.l.</v>
      </c>
      <c r="O1597" t="str">
        <f>"Sogelma S.r.l."</f>
        <v>Sogelma S.r.l.</v>
      </c>
      <c r="P1597" t="str">
        <f>"Z161997FC4: [18467.50€ ]"</f>
        <v>Z161997FC4: [18467.50€ ]</v>
      </c>
      <c r="Q1597" t="str">
        <f>""</f>
        <v/>
      </c>
      <c r="R1597" t="str">
        <f>""</f>
        <v/>
      </c>
      <c r="S1597" t="str">
        <f>""</f>
        <v/>
      </c>
      <c r="T1597" t="s">
        <v>50</v>
      </c>
      <c r="U1597" t="str">
        <f>""</f>
        <v/>
      </c>
      <c r="V15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98" spans="1:22" x14ac:dyDescent="0.3">
      <c r="A1598" t="str">
        <f>"Affidamento"</f>
        <v>Affidamento</v>
      </c>
      <c r="B1598" t="str">
        <f>"Intervento BCM cavalcavia Camerini/Sfioratore. - Processo ID 006-03."</f>
        <v>Intervento BCM cavalcavia Camerini/Sfioratore. - Processo ID 006-03.</v>
      </c>
      <c r="C1598" t="str">
        <f>"ZC21997F10"</f>
        <v>ZC21997F10</v>
      </c>
      <c r="D1598" t="str">
        <f>"04/11/2021"</f>
        <v>04/11/2021</v>
      </c>
      <c r="E1598" t="str">
        <f>""</f>
        <v/>
      </c>
      <c r="F1598" t="str">
        <f>""</f>
        <v/>
      </c>
      <c r="G1598" t="str">
        <f>"6032.50"</f>
        <v>6032.50</v>
      </c>
      <c r="H1598" t="str">
        <f>"Consorzio di bonifica Bacchiglione"</f>
        <v>Consorzio di bonifica Bacchiglione</v>
      </c>
      <c r="I1598" t="str">
        <f>"92223390284"</f>
        <v>92223390284</v>
      </c>
      <c r="J1598" t="str">
        <f>"23-AFFIDAMENTO DIRETTO"</f>
        <v>23-AFFIDAMENTO DIRETTO</v>
      </c>
      <c r="K1598" t="str">
        <f>"26/04/2021"</f>
        <v>26/04/2021</v>
      </c>
      <c r="L1598" t="str">
        <f>"01/06/2021"</f>
        <v>01/06/2021</v>
      </c>
      <c r="M1598" t="str">
        <f>""</f>
        <v/>
      </c>
      <c r="N1598" t="str">
        <f>"Sogelma S.r.l."</f>
        <v>Sogelma S.r.l.</v>
      </c>
      <c r="O1598" t="str">
        <f>"Sogelma S.r.l."</f>
        <v>Sogelma S.r.l.</v>
      </c>
      <c r="P1598" t="str">
        <f>"ZC21997F10: [6032.50€ ]"</f>
        <v>ZC21997F10: [6032.50€ ]</v>
      </c>
      <c r="Q1598" t="str">
        <f>""</f>
        <v/>
      </c>
      <c r="R1598" t="str">
        <f>""</f>
        <v/>
      </c>
      <c r="S1598" t="str">
        <f>""</f>
        <v/>
      </c>
      <c r="T1598" t="str">
        <f>"https://portaletrasparenza.consorziobacchiglione.it/dettagli/attodigara/356/intervento-bcm-cavalcavia-camerini-sfioratore-processo-id-006-03.html"</f>
        <v>https://portaletrasparenza.consorziobacchiglione.it/dettagli/attodigara/356/intervento-bcm-cavalcavia-camerini-sfioratore-processo-id-006-03.html</v>
      </c>
      <c r="U1598" t="str">
        <f>""</f>
        <v/>
      </c>
      <c r="V15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599" spans="1:22" x14ac:dyDescent="0.3">
      <c r="A1599" t="str">
        <f>"Affidamento"</f>
        <v>Affidamento</v>
      </c>
      <c r="B1599" t="str">
        <f>"Lavori di fornitura e posa in opera di materiale inerte nel Reparto Orientale per l'anno 2016"</f>
        <v>Lavori di fornitura e posa in opera di materiale inerte nel Reparto Orientale per l'anno 2016</v>
      </c>
      <c r="C1599" t="str">
        <f>"66029373FC"</f>
        <v>66029373FC</v>
      </c>
      <c r="D1599" t="str">
        <f>"04/11/2021"</f>
        <v>04/11/2021</v>
      </c>
      <c r="E1599" t="str">
        <f>""</f>
        <v/>
      </c>
      <c r="F1599" t="str">
        <f>""</f>
        <v/>
      </c>
      <c r="G1599" t="str">
        <f>"218354.63"</f>
        <v>218354.63</v>
      </c>
      <c r="H1599" t="str">
        <f>"Consorzio di bonifica Bacchiglione"</f>
        <v>Consorzio di bonifica Bacchiglione</v>
      </c>
      <c r="I1599" t="str">
        <f>"92223390284"</f>
        <v>92223390284</v>
      </c>
      <c r="J1599" t="str">
        <f>"08-AFFIDAMENTO IN ECONOMIA - COTTIMO FIDUCIARIO"</f>
        <v>08-AFFIDAMENTO IN ECONOMIA - COTTIMO FIDUCIARIO</v>
      </c>
      <c r="K1599" t="str">
        <f>"26/04/2021"</f>
        <v>26/04/2021</v>
      </c>
      <c r="L1599" t="str">
        <f>"25/04/2021"</f>
        <v>25/04/2021</v>
      </c>
      <c r="M1599" t="str">
        <f>""</f>
        <v/>
      </c>
      <c r="N1599" t="s">
        <v>73</v>
      </c>
      <c r="O1599" t="str">
        <f>"Costruzioni Stradali Martini Silvestro s.r.l."</f>
        <v>Costruzioni Stradali Martini Silvestro s.r.l.</v>
      </c>
      <c r="P1599" t="str">
        <f>"66029373FC: [218183.72€ ]"</f>
        <v>66029373FC: [218183.72€ ]</v>
      </c>
      <c r="Q1599" t="str">
        <f>""</f>
        <v/>
      </c>
      <c r="R1599" t="str">
        <f>""</f>
        <v/>
      </c>
      <c r="S1599" t="str">
        <f>""</f>
        <v/>
      </c>
      <c r="T1599" t="str">
        <f>"https://portaletrasparenza.consorziobacchiglione.it/dettagli/attodigara/2/lavori-di-fornitura-e-posa-in-opera-di-materiale-inerte-nel-reparto-orientale-per-l-anno-2016.html"</f>
        <v>https://portaletrasparenza.consorziobacchiglione.it/dettagli/attodigara/2/lavori-di-fornitura-e-posa-in-opera-di-materiale-inerte-nel-reparto-orientale-per-l-anno-2016.html</v>
      </c>
      <c r="U1599" t="str">
        <f>""</f>
        <v/>
      </c>
      <c r="V1599">
        <f>(SUBSTITUTE(Tabella1[[#This Row],[Importo di aggiudicazione]],".",","))-(SUBSTITUTE(  SUBSTITUTE(          SUBSTITUTE(Tabella1[[#This Row],[Dettaglio somme liquidate]],Tabella1[[#This Row],[CIG]]&amp;": [",""),"€ ]",""),".",","))</f>
        <v>170.91000000000349</v>
      </c>
    </row>
    <row r="1600" spans="1:22" x14ac:dyDescent="0.3">
      <c r="A1600" t="str">
        <f>"Affidamento"</f>
        <v>Affidamento</v>
      </c>
      <c r="B1600" t="str">
        <f>"Riparazione benna da sfalcio Herder del mezzo targato: ALA152"</f>
        <v>Riparazione benna da sfalcio Herder del mezzo targato: ALA152</v>
      </c>
      <c r="C1600" t="str">
        <f>"Z8A317D1F8"</f>
        <v>Z8A317D1F8</v>
      </c>
      <c r="D1600" t="str">
        <f>"26/04/2021"</f>
        <v>26/04/2021</v>
      </c>
      <c r="E1600" t="str">
        <f>""</f>
        <v/>
      </c>
      <c r="F1600" t="str">
        <f>""</f>
        <v/>
      </c>
      <c r="G1600" t="str">
        <f>"1686.39"</f>
        <v>1686.39</v>
      </c>
      <c r="H1600" t="str">
        <f>"Consorzio di bonifica Bacchiglione"</f>
        <v>Consorzio di bonifica Bacchiglione</v>
      </c>
      <c r="I1600" t="str">
        <f>"92223390284"</f>
        <v>92223390284</v>
      </c>
      <c r="J1600" t="str">
        <f>"23-AFFIDAMENTO DIRETTO"</f>
        <v>23-AFFIDAMENTO DIRETTO</v>
      </c>
      <c r="K1600" t="str">
        <f>"26/04/2021"</f>
        <v>26/04/2021</v>
      </c>
      <c r="L1600" t="str">
        <f>"10/05/2021"</f>
        <v>10/05/2021</v>
      </c>
      <c r="M1600" t="str">
        <f>""</f>
        <v/>
      </c>
      <c r="N1600" t="str">
        <f>"Adriatica Commerciale Macchine s.r.l. Via dell'Artigianato 5 35020 Due Carrare PD"</f>
        <v>Adriatica Commerciale Macchine s.r.l. Via dell'Artigianato 5 35020 Due Carrare PD</v>
      </c>
      <c r="O1600" t="str">
        <f>"Adriatica Commerciale Macchine s.r.l. Via dell'Artigianato 5 35020 Due Carrare PD"</f>
        <v>Adriatica Commerciale Macchine s.r.l. Via dell'Artigianato 5 35020 Due Carrare PD</v>
      </c>
      <c r="P1600" t="str">
        <f>"Z8A317D1F8: [1686.39€ ]"</f>
        <v>Z8A317D1F8: [1686.39€ ]</v>
      </c>
      <c r="Q1600" t="str">
        <f>""</f>
        <v/>
      </c>
      <c r="R1600" t="str">
        <f>""</f>
        <v/>
      </c>
      <c r="S1600" t="str">
        <f>""</f>
        <v/>
      </c>
      <c r="T1600" t="str">
        <f>"https://portaletrasparenza.consorziobacchiglione.it/dettagli/attodigara/6829/riparazione-benna-da-sfalcio-herder-del-mezzo-targato-ala152.html"</f>
        <v>https://portaletrasparenza.consorziobacchiglione.it/dettagli/attodigara/6829/riparazione-benna-da-sfalcio-herder-del-mezzo-targato-ala152.html</v>
      </c>
      <c r="U1600" t="str">
        <f>"https://portaletrasparenza.consorziobacchiglione.it/download/attodigara/6829/63ac45845c202.PDF"</f>
        <v>https://portaletrasparenza.consorziobacchiglione.it/download/attodigara/6829/63ac45845c202.PDF</v>
      </c>
      <c r="V16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01" spans="1:22" x14ac:dyDescent="0.3">
      <c r="A1601" t="str">
        <f>"Affidamento"</f>
        <v>Affidamento</v>
      </c>
      <c r="B1601" t="str">
        <f>"Noleggio bagno chimico da cantiere per lavori scolo Bolzani."</f>
        <v>Noleggio bagno chimico da cantiere per lavori scolo Bolzani.</v>
      </c>
      <c r="C1601" t="str">
        <f>"Z3A1A0CC70"</f>
        <v>Z3A1A0CC70</v>
      </c>
      <c r="D1601" t="str">
        <f>"04/11/2021"</f>
        <v>04/11/2021</v>
      </c>
      <c r="E1601" t="str">
        <f>""</f>
        <v/>
      </c>
      <c r="F1601" t="str">
        <f>""</f>
        <v/>
      </c>
      <c r="G1601" t="str">
        <f>"160.00"</f>
        <v>160.00</v>
      </c>
      <c r="H1601" t="str">
        <f>"Consorzio di bonifica Bacchiglione"</f>
        <v>Consorzio di bonifica Bacchiglione</v>
      </c>
      <c r="I1601" t="str">
        <f>"92223390284"</f>
        <v>92223390284</v>
      </c>
      <c r="J1601" t="str">
        <f>"23-AFFIDAMENTO DIRETTO"</f>
        <v>23-AFFIDAMENTO DIRETTO</v>
      </c>
      <c r="K1601" t="str">
        <f>"26/05/2021"</f>
        <v>26/05/2021</v>
      </c>
      <c r="L1601" t="str">
        <f>"30/06/2021"</f>
        <v>30/06/2021</v>
      </c>
      <c r="M1601" t="str">
        <f>""</f>
        <v/>
      </c>
      <c r="N1601" t="str">
        <f>"Carrarespurghi di Peraro Filippo Via G Verdi 4 35020 Due Carrare PD"</f>
        <v>Carrarespurghi di Peraro Filippo Via G Verdi 4 35020 Due Carrare PD</v>
      </c>
      <c r="O1601" t="str">
        <f>"Carrarespurghi di Peraro Filippo Via G Verdi 4 35020 Due Carrare PD"</f>
        <v>Carrarespurghi di Peraro Filippo Via G Verdi 4 35020 Due Carrare PD</v>
      </c>
      <c r="P1601" t="str">
        <f>"Z3A1A0CC70: [160.00€ ]"</f>
        <v>Z3A1A0CC70: [160.00€ ]</v>
      </c>
      <c r="Q1601" t="str">
        <f>""</f>
        <v/>
      </c>
      <c r="R1601" t="str">
        <f>""</f>
        <v/>
      </c>
      <c r="S1601" t="str">
        <f>""</f>
        <v/>
      </c>
      <c r="T1601" t="str">
        <f>"https://portaletrasparenza.consorziobacchiglione.it/dettagli/attodigara/469/noleggio-bagno-chimico-da-cantiere-per-lavori-scolo-bolzani.html"</f>
        <v>https://portaletrasparenza.consorziobacchiglione.it/dettagli/attodigara/469/noleggio-bagno-chimico-da-cantiere-per-lavori-scolo-bolzani.html</v>
      </c>
      <c r="U1601" t="str">
        <f>""</f>
        <v/>
      </c>
      <c r="V160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02" spans="1:22" x14ac:dyDescent="0.3">
      <c r="A1602" t="str">
        <f>"Affidamento"</f>
        <v>Affidamento</v>
      </c>
      <c r="B1602" t="str">
        <f>"Pulizia tubazioni e adescamento sifone Mediano."</f>
        <v>Pulizia tubazioni e adescamento sifone Mediano.</v>
      </c>
      <c r="C1602" t="str">
        <f>"Z961A0CBBE"</f>
        <v>Z961A0CBBE</v>
      </c>
      <c r="D1602" t="str">
        <f>"04/11/2021"</f>
        <v>04/11/2021</v>
      </c>
      <c r="E1602" t="str">
        <f>""</f>
        <v/>
      </c>
      <c r="F1602" t="str">
        <f>""</f>
        <v/>
      </c>
      <c r="G1602" t="str">
        <f>"400.00"</f>
        <v>400.00</v>
      </c>
      <c r="H1602" t="str">
        <f>"Consorzio di bonifica Bacchiglione"</f>
        <v>Consorzio di bonifica Bacchiglione</v>
      </c>
      <c r="I1602" t="str">
        <f>"92223390284"</f>
        <v>92223390284</v>
      </c>
      <c r="J1602" t="str">
        <f>"23-AFFIDAMENTO DIRETTO"</f>
        <v>23-AFFIDAMENTO DIRETTO</v>
      </c>
      <c r="K1602" t="str">
        <f>"26/05/2021"</f>
        <v>26/05/2021</v>
      </c>
      <c r="L1602" t="str">
        <f>"13/06/2021"</f>
        <v>13/06/2021</v>
      </c>
      <c r="M1602" t="str">
        <f>""</f>
        <v/>
      </c>
      <c r="N1602" t="str">
        <f>"Carrarespurghi di Peraro Filippo Via G Verdi 4 35020 Due Carrare PD"</f>
        <v>Carrarespurghi di Peraro Filippo Via G Verdi 4 35020 Due Carrare PD</v>
      </c>
      <c r="O1602" t="str">
        <f>"Carrarespurghi di Peraro Filippo Via G Verdi 4 35020 Due Carrare PD"</f>
        <v>Carrarespurghi di Peraro Filippo Via G Verdi 4 35020 Due Carrare PD</v>
      </c>
      <c r="P1602" t="str">
        <f>"Z961A0CBBE: [400.00€ ]"</f>
        <v>Z961A0CBBE: [400.00€ ]</v>
      </c>
      <c r="Q1602" t="str">
        <f>""</f>
        <v/>
      </c>
      <c r="R1602" t="str">
        <f>""</f>
        <v/>
      </c>
      <c r="S1602" t="str">
        <f>""</f>
        <v/>
      </c>
      <c r="T1602" t="str">
        <f>"https://portaletrasparenza.consorziobacchiglione.it/dettagli/attodigara/468/pulizia-tubazioni-e-adescamento-sifone-mediano.html"</f>
        <v>https://portaletrasparenza.consorziobacchiglione.it/dettagli/attodigara/468/pulizia-tubazioni-e-adescamento-sifone-mediano.html</v>
      </c>
      <c r="U1602" t="str">
        <f>""</f>
        <v/>
      </c>
      <c r="V16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03" spans="1:22" x14ac:dyDescent="0.3">
      <c r="A1603" t="str">
        <f>"Affidamento"</f>
        <v>Affidamento</v>
      </c>
      <c r="B1603" t="str">
        <f>"Smontaggio completo motore trifase, pulizia e sabbiatura dei componenti, riavvolgimento cavo, sostituzione cuscinetti , Idrovora Fogolana."</f>
        <v>Smontaggio completo motore trifase, pulizia e sabbiatura dei componenti, riavvolgimento cavo, sostituzione cuscinetti , Idrovora Fogolana.</v>
      </c>
      <c r="C1603" t="str">
        <f>"ZC51A0C4CD"</f>
        <v>ZC51A0C4CD</v>
      </c>
      <c r="D1603" t="str">
        <f>"04/11/2021"</f>
        <v>04/11/2021</v>
      </c>
      <c r="E1603" t="str">
        <f>""</f>
        <v/>
      </c>
      <c r="F1603" t="str">
        <f>""</f>
        <v/>
      </c>
      <c r="G1603" t="str">
        <f>"2267.00"</f>
        <v>2267.00</v>
      </c>
      <c r="H1603" t="str">
        <f>"Consorzio di bonifica Bacchiglione"</f>
        <v>Consorzio di bonifica Bacchiglione</v>
      </c>
      <c r="I1603" t="str">
        <f>"92223390284"</f>
        <v>92223390284</v>
      </c>
      <c r="J1603" t="str">
        <f>"23-AFFIDAMENTO DIRETTO"</f>
        <v>23-AFFIDAMENTO DIRETTO</v>
      </c>
      <c r="K1603" t="str">
        <f>"26/05/2021"</f>
        <v>26/05/2021</v>
      </c>
      <c r="L1603" t="str">
        <f>"01/08/2021"</f>
        <v>01/08/2021</v>
      </c>
      <c r="M1603" t="str">
        <f>""</f>
        <v/>
      </c>
      <c r="N1603" t="str">
        <f>"Scarpa Sergio Elettromeccanica S.n.c. di Scarpa Paola E C. Via A. Vivaldi 7 35028 Piove di Sacco PD"</f>
        <v>Scarpa Sergio Elettromeccanica S.n.c. di Scarpa Paola E C. Via A. Vivaldi 7 35028 Piove di Sacco PD</v>
      </c>
      <c r="O1603" t="str">
        <f>"Scarpa Sergio Elettromeccanica S.n.c. di Scarpa Paola E C. Via A. Vivaldi 7 35028 Piove di Sacco PD"</f>
        <v>Scarpa Sergio Elettromeccanica S.n.c. di Scarpa Paola E C. Via A. Vivaldi 7 35028 Piove di Sacco PD</v>
      </c>
      <c r="P1603" t="str">
        <f>"ZC51A0C4CD: [2267.00€ ]"</f>
        <v>ZC51A0C4CD: [2267.00€ ]</v>
      </c>
      <c r="Q1603" t="str">
        <f>""</f>
        <v/>
      </c>
      <c r="R1603" t="str">
        <f>""</f>
        <v/>
      </c>
      <c r="S1603" t="str">
        <f>""</f>
        <v/>
      </c>
      <c r="T1603" t="str">
        <f>"https://portaletrasparenza.consorziobacchiglione.it/dettagli/attodigara/467/smontaggio-completo-motore-trifase-pulizia-e-sabbiatura-dei-componenti-riavvolgimento-cavo-sostituzione-cuscinetti-idrovora-fogolana.html"</f>
        <v>https://portaletrasparenza.consorziobacchiglione.it/dettagli/attodigara/467/smontaggio-completo-motore-trifase-pulizia-e-sabbiatura-dei-componenti-riavvolgimento-cavo-sostituzione-cuscinetti-idrovora-fogolana.html</v>
      </c>
      <c r="U1603" t="str">
        <f>""</f>
        <v/>
      </c>
      <c r="V16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04" spans="1:22" x14ac:dyDescent="0.3">
      <c r="A1604" t="str">
        <f>"Affidamento"</f>
        <v>Affidamento</v>
      </c>
      <c r="B1604" t="str">
        <f>"Riparazione e manutenzione elettroutensili C.O.S.Margherita e C.O.Pratiarcati."</f>
        <v>Riparazione e manutenzione elettroutensili C.O.S.Margherita e C.O.Pratiarcati.</v>
      </c>
      <c r="C1604" t="str">
        <f>"Z391A0C358"</f>
        <v>Z391A0C358</v>
      </c>
      <c r="D1604" t="str">
        <f>"04/11/2021"</f>
        <v>04/11/2021</v>
      </c>
      <c r="E1604" t="str">
        <f>""</f>
        <v/>
      </c>
      <c r="F1604" t="str">
        <f>""</f>
        <v/>
      </c>
      <c r="G1604" t="str">
        <f>"232.20"</f>
        <v>232.20</v>
      </c>
      <c r="H1604" t="str">
        <f>"Consorzio di bonifica Bacchiglione"</f>
        <v>Consorzio di bonifica Bacchiglione</v>
      </c>
      <c r="I1604" t="str">
        <f>"92223390284"</f>
        <v>92223390284</v>
      </c>
      <c r="J1604" t="str">
        <f>"23-AFFIDAMENTO DIRETTO"</f>
        <v>23-AFFIDAMENTO DIRETTO</v>
      </c>
      <c r="K1604" t="str">
        <f>"26/05/2021"</f>
        <v>26/05/2021</v>
      </c>
      <c r="L1604" t="str">
        <f>"01/08/2021"</f>
        <v>01/08/2021</v>
      </c>
      <c r="M1604" t="str">
        <f>""</f>
        <v/>
      </c>
      <c r="N1604" t="str">
        <f>"Scarpa Sergio Elettromeccanica S.n.c. di Scarpa Paola E C. Via A. Vivaldi 7 35028 Piove di Sacco PD"</f>
        <v>Scarpa Sergio Elettromeccanica S.n.c. di Scarpa Paola E C. Via A. Vivaldi 7 35028 Piove di Sacco PD</v>
      </c>
      <c r="O1604" t="str">
        <f>"Scarpa Sergio Elettromeccanica S.n.c. di Scarpa Paola E C. Via A. Vivaldi 7 35028 Piove di Sacco PD"</f>
        <v>Scarpa Sergio Elettromeccanica S.n.c. di Scarpa Paola E C. Via A. Vivaldi 7 35028 Piove di Sacco PD</v>
      </c>
      <c r="P1604" t="str">
        <f>"Z391A0C358: [232.20€ ]"</f>
        <v>Z391A0C358: [232.20€ ]</v>
      </c>
      <c r="Q1604" t="str">
        <f>""</f>
        <v/>
      </c>
      <c r="R1604" t="str">
        <f>""</f>
        <v/>
      </c>
      <c r="S1604" t="str">
        <f>""</f>
        <v/>
      </c>
      <c r="T1604" t="str">
        <f>"https://portaletrasparenza.consorziobacchiglione.it/dettagli/attodigara/466/riparazione-e-manutenzione-elettroutensili-c-o-s-margherita-e-c-o-pratiarcati.html"</f>
        <v>https://portaletrasparenza.consorziobacchiglione.it/dettagli/attodigara/466/riparazione-e-manutenzione-elettroutensili-c-o-s-margherita-e-c-o-pratiarcati.html</v>
      </c>
      <c r="U1604" t="str">
        <f>""</f>
        <v/>
      </c>
      <c r="V16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05" spans="1:22" x14ac:dyDescent="0.3">
      <c r="A1605" t="str">
        <f>"Affidamento"</f>
        <v>Affidamento</v>
      </c>
      <c r="B1605" t="str">
        <f>"Manutenzione e riparazione tauro decespugliatore su mezzo con targa: AFW043 e sostituzione piantone Sali scendi Motobarca N 7."</f>
        <v>Manutenzione e riparazione tauro decespugliatore su mezzo con targa: AFW043 e sostituzione piantone Sali scendi Motobarca N 7.</v>
      </c>
      <c r="C1605" t="str">
        <f>"ZAD1A0C04B"</f>
        <v>ZAD1A0C04B</v>
      </c>
      <c r="D1605" t="str">
        <f>"04/11/2021"</f>
        <v>04/11/2021</v>
      </c>
      <c r="E1605" t="str">
        <f>""</f>
        <v/>
      </c>
      <c r="F1605" t="str">
        <f>""</f>
        <v/>
      </c>
      <c r="G1605" t="str">
        <f>"4700.00"</f>
        <v>4700.00</v>
      </c>
      <c r="H1605" t="str">
        <f>"Consorzio di bonifica Bacchiglione"</f>
        <v>Consorzio di bonifica Bacchiglione</v>
      </c>
      <c r="I1605" t="str">
        <f>"92223390284"</f>
        <v>92223390284</v>
      </c>
      <c r="J1605" t="str">
        <f>"23-AFFIDAMENTO DIRETTO"</f>
        <v>23-AFFIDAMENTO DIRETTO</v>
      </c>
      <c r="K1605" t="str">
        <f>"26/05/2021"</f>
        <v>26/05/2021</v>
      </c>
      <c r="L1605" t="str">
        <f>"18/07/2021"</f>
        <v>18/07/2021</v>
      </c>
      <c r="M1605" t="str">
        <f>""</f>
        <v/>
      </c>
      <c r="N1605" t="str">
        <f>"ZEMI s.a.s. di Zanotto Enzo di Ruzzante Dorina Via E. Mattei 7 35020 Due Carrare PD"</f>
        <v>ZEMI s.a.s. di Zanotto Enzo di Ruzzante Dorina Via E. Mattei 7 35020 Due Carrare PD</v>
      </c>
      <c r="O1605" t="str">
        <f>"ZEMI s.a.s. di Zanotto Enzo di Ruzzante Dorina Via E. Mattei 7 35020 Due Carrare PD"</f>
        <v>ZEMI s.a.s. di Zanotto Enzo di Ruzzante Dorina Via E. Mattei 7 35020 Due Carrare PD</v>
      </c>
      <c r="P1605" t="str">
        <f>"ZAD1A0C04B: [4700.00€ ]"</f>
        <v>ZAD1A0C04B: [4700.00€ ]</v>
      </c>
      <c r="Q1605" t="str">
        <f>""</f>
        <v/>
      </c>
      <c r="R1605" t="str">
        <f>""</f>
        <v/>
      </c>
      <c r="S1605" t="str">
        <f>""</f>
        <v/>
      </c>
      <c r="T1605" t="str">
        <f>"https://portaletrasparenza.consorziobacchiglione.it/dettagli/attodigara/465/manutenzione-e-riparazione-tauro-decespugliatore-su-mezzo-con-targa-afw043-e-sostituzione-piantone-sali-scendi-motobarca-n-7.html"</f>
        <v>https://portaletrasparenza.consorziobacchiglione.it/dettagli/attodigara/465/manutenzione-e-riparazione-tauro-decespugliatore-su-mezzo-con-targa-afw043-e-sostituzione-piantone-sali-scendi-motobarca-n-7.html</v>
      </c>
      <c r="U1605" t="str">
        <f>""</f>
        <v/>
      </c>
      <c r="V160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06" spans="1:22" x14ac:dyDescent="0.3">
      <c r="A1606" t="str">
        <f>"Affidamento"</f>
        <v>Affidamento</v>
      </c>
      <c r="B1606" t="str">
        <f>"Trasporto escavatore cingolato da scolo Condotto di Bojon a scolo Altipiano."</f>
        <v>Trasporto escavatore cingolato da scolo Condotto di Bojon a scolo Altipiano.</v>
      </c>
      <c r="C1606" t="str">
        <f>"Z831A0BEC7"</f>
        <v>Z831A0BEC7</v>
      </c>
      <c r="D1606" t="str">
        <f>"04/11/2021"</f>
        <v>04/11/2021</v>
      </c>
      <c r="E1606" t="str">
        <f>""</f>
        <v/>
      </c>
      <c r="F1606" t="str">
        <f>""</f>
        <v/>
      </c>
      <c r="G1606" t="str">
        <f>"165.00"</f>
        <v>165.00</v>
      </c>
      <c r="H1606" t="str">
        <f>"Consorzio di bonifica Bacchiglione"</f>
        <v>Consorzio di bonifica Bacchiglione</v>
      </c>
      <c r="I1606" t="str">
        <f>"92223390284"</f>
        <v>92223390284</v>
      </c>
      <c r="J1606" t="str">
        <f>"23-AFFIDAMENTO DIRETTO"</f>
        <v>23-AFFIDAMENTO DIRETTO</v>
      </c>
      <c r="K1606" t="str">
        <f>"26/05/2021"</f>
        <v>26/05/2021</v>
      </c>
      <c r="L1606" t="str">
        <f>"11/07/2021"</f>
        <v>11/07/2021</v>
      </c>
      <c r="M1606" t="str">
        <f>""</f>
        <v/>
      </c>
      <c r="N1606" t="str">
        <f>"Trovò s.r.l. Via Idrovora, 3 - 35020 Codevigo (PD)"</f>
        <v>Trovò s.r.l. Via Idrovora, 3 - 35020 Codevigo (PD)</v>
      </c>
      <c r="O1606" t="str">
        <f>"Trovò s.r.l. Via Idrovora, 3 - 35020 Codevigo (PD)"</f>
        <v>Trovò s.r.l. Via Idrovora, 3 - 35020 Codevigo (PD)</v>
      </c>
      <c r="P1606" t="str">
        <f>"Z831A0BEC7: [165.00€ ]"</f>
        <v>Z831A0BEC7: [165.00€ ]</v>
      </c>
      <c r="Q1606" t="str">
        <f>""</f>
        <v/>
      </c>
      <c r="R1606" t="str">
        <f>""</f>
        <v/>
      </c>
      <c r="S1606" t="str">
        <f>""</f>
        <v/>
      </c>
      <c r="T1606" t="str">
        <f>"https://portaletrasparenza.consorziobacchiglione.it/dettagli/attodigara/464/trasporto-escavatore-cingolato-da-scolo-condotto-di-bojon-a-scolo-altipiano.html"</f>
        <v>https://portaletrasparenza.consorziobacchiglione.it/dettagli/attodigara/464/trasporto-escavatore-cingolato-da-scolo-condotto-di-bojon-a-scolo-altipiano.html</v>
      </c>
      <c r="U1606" t="str">
        <f>""</f>
        <v/>
      </c>
      <c r="V16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07" spans="1:22" x14ac:dyDescent="0.3">
      <c r="A1607" t="str">
        <f>"Affidamento"</f>
        <v>Affidamento</v>
      </c>
      <c r="B1607" t="str">
        <f>"Fornitura grasso per mezzi Consorziali."</f>
        <v>Fornitura grasso per mezzi Consorziali.</v>
      </c>
      <c r="C1607" t="str">
        <f>"ZC91A0B827"</f>
        <v>ZC91A0B827</v>
      </c>
      <c r="D1607" t="str">
        <f>"04/11/2021"</f>
        <v>04/11/2021</v>
      </c>
      <c r="E1607" t="str">
        <f>""</f>
        <v/>
      </c>
      <c r="F1607" t="str">
        <f>""</f>
        <v/>
      </c>
      <c r="G1607" t="str">
        <f>"879.34"</f>
        <v>879.34</v>
      </c>
      <c r="H1607" t="str">
        <f>"Consorzio di bonifica Bacchiglione"</f>
        <v>Consorzio di bonifica Bacchiglione</v>
      </c>
      <c r="I1607" t="str">
        <f>"92223390284"</f>
        <v>92223390284</v>
      </c>
      <c r="J1607" t="str">
        <f>"23-AFFIDAMENTO DIRETTO"</f>
        <v>23-AFFIDAMENTO DIRETTO</v>
      </c>
      <c r="K1607" t="str">
        <f>"26/05/2021"</f>
        <v>26/05/2021</v>
      </c>
      <c r="L1607" t="str">
        <f>"01/07/2021"</f>
        <v>01/07/2021</v>
      </c>
      <c r="M1607" t="str">
        <f>""</f>
        <v/>
      </c>
      <c r="N1607" t="str">
        <f>"Centro Lubrificanti Via Oderzo 48 31040 Mansuè TV"</f>
        <v>Centro Lubrificanti Via Oderzo 48 31040 Mansuè TV</v>
      </c>
      <c r="O1607" t="str">
        <f>"Centro Lubrificanti Via Oderzo 48 31040 Mansuè TV"</f>
        <v>Centro Lubrificanti Via Oderzo 48 31040 Mansuè TV</v>
      </c>
      <c r="P1607" t="str">
        <f>"ZC91A0B827: [871.56€ ]"</f>
        <v>ZC91A0B827: [871.56€ ]</v>
      </c>
      <c r="Q1607" t="str">
        <f>""</f>
        <v/>
      </c>
      <c r="R1607" t="str">
        <f>""</f>
        <v/>
      </c>
      <c r="S1607" t="str">
        <f>""</f>
        <v/>
      </c>
      <c r="T1607" t="str">
        <f>"https://portaletrasparenza.consorziobacchiglione.it/dettagli/attodigara/463/fornitura-grasso-per-mezzi-consorziali.html"</f>
        <v>https://portaletrasparenza.consorziobacchiglione.it/dettagli/attodigara/463/fornitura-grasso-per-mezzi-consorziali.html</v>
      </c>
      <c r="U1607" t="str">
        <f>""</f>
        <v/>
      </c>
      <c r="V1607">
        <f>(SUBSTITUTE(Tabella1[[#This Row],[Importo di aggiudicazione]],".",","))-(SUBSTITUTE(  SUBSTITUTE(          SUBSTITUTE(Tabella1[[#This Row],[Dettaglio somme liquidate]],Tabella1[[#This Row],[CIG]]&amp;": [",""),"€ ]",""),".",","))</f>
        <v>7.7800000000000864</v>
      </c>
    </row>
    <row r="1608" spans="1:22" x14ac:dyDescent="0.3">
      <c r="A1608" t="str">
        <f>"Affidamento"</f>
        <v>Affidamento</v>
      </c>
      <c r="B1608" t="str">
        <f>"Lavoro di taglio n.3 piante con asporto materiale di risulta presso scolo in Via Magenta Ponte S.Nicolò"</f>
        <v>Lavoro di taglio n.3 piante con asporto materiale di risulta presso scolo in Via Magenta Ponte S.Nicolò</v>
      </c>
      <c r="C1608" t="str">
        <f>"Z6631E0B55"</f>
        <v>Z6631E0B55</v>
      </c>
      <c r="D1608" t="str">
        <f>"26/05/2021"</f>
        <v>26/05/2021</v>
      </c>
      <c r="E1608" t="str">
        <f>""</f>
        <v/>
      </c>
      <c r="F1608" t="str">
        <f>""</f>
        <v/>
      </c>
      <c r="G1608" t="str">
        <f>"900.00"</f>
        <v>900.00</v>
      </c>
      <c r="H1608" t="str">
        <f>"Consorzio di bonifica Bacchiglione"</f>
        <v>Consorzio di bonifica Bacchiglione</v>
      </c>
      <c r="I1608" t="str">
        <f>"92223390284"</f>
        <v>92223390284</v>
      </c>
      <c r="J1608" t="str">
        <f>"23-AFFIDAMENTO DIRETTO"</f>
        <v>23-AFFIDAMENTO DIRETTO</v>
      </c>
      <c r="K1608" t="str">
        <f>"26/05/2021"</f>
        <v>26/05/2021</v>
      </c>
      <c r="L1608" t="str">
        <f>"10/06/2021"</f>
        <v>10/06/2021</v>
      </c>
      <c r="M1608" t="str">
        <f>""</f>
        <v/>
      </c>
      <c r="N1608" t="str">
        <f>"Vivai F.lli Berti via S.Martino 46 Cervarese S.Croce PD"</f>
        <v>Vivai F.lli Berti via S.Martino 46 Cervarese S.Croce PD</v>
      </c>
      <c r="O1608" t="str">
        <f>"Vivai F.lli Berti via S.Martino 46 Cervarese S.Croce PD"</f>
        <v>Vivai F.lli Berti via S.Martino 46 Cervarese S.Croce PD</v>
      </c>
      <c r="P1608" t="str">
        <f>"Z6631E0B55: [900.00€ ]"</f>
        <v>Z6631E0B55: [900.00€ ]</v>
      </c>
      <c r="Q1608" t="str">
        <f>""</f>
        <v/>
      </c>
      <c r="R1608" t="str">
        <f>""</f>
        <v/>
      </c>
      <c r="S1608" t="str">
        <f>""</f>
        <v/>
      </c>
      <c r="T1608" t="str">
        <f>"https://portaletrasparenza.consorziobacchiglione.it/dettagli/attodigara/6906/lavoro-di-taglio-n-3-piante-con-asporto-materiale-di-risulta-presso-scolo-in-via-magenta-ponte-s-nicolo.html"</f>
        <v>https://portaletrasparenza.consorziobacchiglione.it/dettagli/attodigara/6906/lavoro-di-taglio-n-3-piante-con-asporto-materiale-di-risulta-presso-scolo-in-via-magenta-ponte-s-nicolo.html</v>
      </c>
      <c r="U1608" t="str">
        <f>"https://portaletrasparenza.consorziobacchiglione.it/download/attodigara/6906/63ac4591ab7b5.PDF"</f>
        <v>https://portaletrasparenza.consorziobacchiglione.it/download/attodigara/6906/63ac4591ab7b5.PDF</v>
      </c>
      <c r="V16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09" spans="1:22" x14ac:dyDescent="0.3">
      <c r="A1609" t="str">
        <f>"Affidamento"</f>
        <v>Affidamento</v>
      </c>
      <c r="B1609" t="str">
        <f>"Servizio di postalizzazione massiva omologata degli avviisi di pagamento anno 2021"</f>
        <v>Servizio di postalizzazione massiva omologata degli avviisi di pagamento anno 2021</v>
      </c>
      <c r="C1609" t="str">
        <f>"8773448E50"</f>
        <v>8773448E50</v>
      </c>
      <c r="D1609" t="str">
        <f>"27/05/2021"</f>
        <v>27/05/2021</v>
      </c>
      <c r="E1609" t="str">
        <f>""</f>
        <v/>
      </c>
      <c r="F1609" t="str">
        <f>""</f>
        <v/>
      </c>
      <c r="G1609" t="str">
        <f>"70000.00"</f>
        <v>70000.00</v>
      </c>
      <c r="H1609" t="str">
        <f>"Consorzio di bonifica Bacchiglione"</f>
        <v>Consorzio di bonifica Bacchiglione</v>
      </c>
      <c r="I1609" t="str">
        <f>"92223390284"</f>
        <v>92223390284</v>
      </c>
      <c r="J1609" t="str">
        <f>"23-AFFIDAMENTO DIRETTO"</f>
        <v>23-AFFIDAMENTO DIRETTO</v>
      </c>
      <c r="K1609" t="str">
        <f>"26/05/2021"</f>
        <v>26/05/2021</v>
      </c>
      <c r="L1609" t="str">
        <f>"27/05/2021"</f>
        <v>27/05/2021</v>
      </c>
      <c r="M1609" t="str">
        <f>""</f>
        <v/>
      </c>
      <c r="N1609" t="str">
        <f>"POSTE ITALIANE"</f>
        <v>POSTE ITALIANE</v>
      </c>
      <c r="O1609" t="str">
        <f>"POSTE ITALIANE"</f>
        <v>POSTE ITALIANE</v>
      </c>
      <c r="P1609" t="s">
        <v>133</v>
      </c>
      <c r="Q1609" t="str">
        <f>""</f>
        <v/>
      </c>
      <c r="R1609" t="str">
        <f>""</f>
        <v/>
      </c>
      <c r="S1609" t="str">
        <f>""</f>
        <v/>
      </c>
      <c r="T1609" t="str">
        <f>"https://portaletrasparenza.consorziobacchiglione.it/dettagli/attodigara/6905/servizio-di-postalizzazione-massiva-omologata-degli-avviisi-di-pagamento-anno-2021.html"</f>
        <v>https://portaletrasparenza.consorziobacchiglione.it/dettagli/attodigara/6905/servizio-di-postalizzazione-massiva-omologata-degli-avviisi-di-pagamento-anno-2021.html</v>
      </c>
      <c r="U1609" t="str">
        <f>"https://portaletrasparenza.consorziobacchiglione.it/download/attodigara/6905/63ac459228962.PDF"</f>
        <v>https://portaletrasparenza.consorziobacchiglione.it/download/attodigara/6905/63ac459228962.PDF</v>
      </c>
      <c r="V16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10" spans="1:22" x14ac:dyDescent="0.3">
      <c r="A1610" t="str">
        <f>"Affidamento"</f>
        <v>Affidamento</v>
      </c>
      <c r="B1610" t="str">
        <f>"Realizzazione video."</f>
        <v>Realizzazione video.</v>
      </c>
      <c r="C1610" t="str">
        <f>"ZEB31E3124"</f>
        <v>ZEB31E3124</v>
      </c>
      <c r="D1610" t="str">
        <f>"27/05/2021"</f>
        <v>27/05/2021</v>
      </c>
      <c r="E1610" t="str">
        <f>""</f>
        <v/>
      </c>
      <c r="F1610" t="str">
        <f>""</f>
        <v/>
      </c>
      <c r="G1610" t="str">
        <f>"3000.00"</f>
        <v>3000.00</v>
      </c>
      <c r="H1610" t="str">
        <f>"Consorzio di bonifica Bacchiglione"</f>
        <v>Consorzio di bonifica Bacchiglione</v>
      </c>
      <c r="I1610" t="str">
        <f>"92223390284"</f>
        <v>92223390284</v>
      </c>
      <c r="J1610" t="str">
        <f>"23-AFFIDAMENTO DIRETTO"</f>
        <v>23-AFFIDAMENTO DIRETTO</v>
      </c>
      <c r="K1610" t="str">
        <f>"26/05/2021"</f>
        <v>26/05/2021</v>
      </c>
      <c r="L1610" t="str">
        <f>"27/07/2021"</f>
        <v>27/07/2021</v>
      </c>
      <c r="M1610" t="str">
        <f>""</f>
        <v/>
      </c>
      <c r="N1610" t="str">
        <f>"Cooperativa Deltartisti so. Coop. A.r.l."</f>
        <v>Cooperativa Deltartisti so. Coop. A.r.l.</v>
      </c>
      <c r="O1610" t="str">
        <f>"Cooperativa Deltartisti so. Coop. A.r.l."</f>
        <v>Cooperativa Deltartisti so. Coop. A.r.l.</v>
      </c>
      <c r="P1610" t="str">
        <f>"ZEB31E3124: [3000.00€ ]"</f>
        <v>ZEB31E3124: [3000.00€ ]</v>
      </c>
      <c r="Q1610" t="str">
        <f>""</f>
        <v/>
      </c>
      <c r="R1610" t="str">
        <f>""</f>
        <v/>
      </c>
      <c r="S1610" t="str">
        <f>""</f>
        <v/>
      </c>
      <c r="T1610" t="str">
        <f>"https://portaletrasparenza.consorziobacchiglione.it/dettagli/attodigara/6907/realizzazione-video.html"</f>
        <v>https://portaletrasparenza.consorziobacchiglione.it/dettagli/attodigara/6907/realizzazione-video.html</v>
      </c>
      <c r="U1610" t="str">
        <f>"https://portaletrasparenza.consorziobacchiglione.it/download/attodigara/6907/63ac4591e4263.PDF"</f>
        <v>https://portaletrasparenza.consorziobacchiglione.it/download/attodigara/6907/63ac4591e4263.PDF</v>
      </c>
      <c r="V16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11" spans="1:22" x14ac:dyDescent="0.3">
      <c r="A1611" t="str">
        <f>"Affidamento"</f>
        <v>Affidamento</v>
      </c>
      <c r="B1611" t="str">
        <f>"Riparazione decespugliatore Stihl n 1 C.O.S.Margherita."</f>
        <v>Riparazione decespugliatore Stihl n 1 C.O.S.Margherita.</v>
      </c>
      <c r="C1611" t="str">
        <f>"Z101AC4A4A"</f>
        <v>Z101AC4A4A</v>
      </c>
      <c r="D1611" t="str">
        <f>"04/11/2021"</f>
        <v>04/11/2021</v>
      </c>
      <c r="E1611" t="str">
        <f>""</f>
        <v/>
      </c>
      <c r="F1611" t="str">
        <f>""</f>
        <v/>
      </c>
      <c r="G1611" t="str">
        <f>"101.23"</f>
        <v>101.23</v>
      </c>
      <c r="H1611" t="str">
        <f>"Consorzio di bonifica Bacchiglione"</f>
        <v>Consorzio di bonifica Bacchiglione</v>
      </c>
      <c r="I1611" t="str">
        <f>"92223390284"</f>
        <v>92223390284</v>
      </c>
      <c r="J1611" t="str">
        <f>"23-AFFIDAMENTO DIRETTO"</f>
        <v>23-AFFIDAMENTO DIRETTO</v>
      </c>
      <c r="K1611" t="str">
        <f>"26/07/2021"</f>
        <v>26/07/2021</v>
      </c>
      <c r="L1611" t="str">
        <f>"29/09/2021"</f>
        <v>29/09/2021</v>
      </c>
      <c r="M1611" t="str">
        <f>""</f>
        <v/>
      </c>
      <c r="N1611" t="str">
        <f>"Frizzarin Riccardo Via Papa Giovanni XXXIII 20 35026 Conselve PD"</f>
        <v>Frizzarin Riccardo Via Papa Giovanni XXXIII 20 35026 Conselve PD</v>
      </c>
      <c r="O1611" t="str">
        <f>"Frizzarin Riccardo Via Papa Giovanni XXXIII 20 35026 Conselve PD"</f>
        <v>Frizzarin Riccardo Via Papa Giovanni XXXIII 20 35026 Conselve PD</v>
      </c>
      <c r="P1611" t="str">
        <f>"Z101AC4A4A: [101.23€ ]"</f>
        <v>Z101AC4A4A: [101.23€ ]</v>
      </c>
      <c r="Q1611" t="str">
        <f>""</f>
        <v/>
      </c>
      <c r="R1611" t="str">
        <f>""</f>
        <v/>
      </c>
      <c r="S1611" t="str">
        <f>""</f>
        <v/>
      </c>
      <c r="T1611" t="str">
        <f>"https://portaletrasparenza.consorziobacchiglione.it/dettagli/attodigara/620/riparazione-decespugliatore-stihl-n-1-c-o-s-margherita.html"</f>
        <v>https://portaletrasparenza.consorziobacchiglione.it/dettagli/attodigara/620/riparazione-decespugliatore-stihl-n-1-c-o-s-margherita.html</v>
      </c>
      <c r="U1611" t="str">
        <f>""</f>
        <v/>
      </c>
      <c r="V161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12" spans="1:22" x14ac:dyDescent="0.3">
      <c r="A1612" t="str">
        <f>"Affidamento"</f>
        <v>Affidamento</v>
      </c>
      <c r="B1612" t="str">
        <f>"Fornitura materiale edile per scolo Stecche."</f>
        <v>Fornitura materiale edile per scolo Stecche.</v>
      </c>
      <c r="C1612" t="str">
        <f>"Z3E1AC49F1"</f>
        <v>Z3E1AC49F1</v>
      </c>
      <c r="D1612" t="str">
        <f>"04/11/2021"</f>
        <v>04/11/2021</v>
      </c>
      <c r="E1612" t="str">
        <f>""</f>
        <v/>
      </c>
      <c r="F1612" t="str">
        <f>""</f>
        <v/>
      </c>
      <c r="G1612" t="str">
        <f>"244.38"</f>
        <v>244.38</v>
      </c>
      <c r="H1612" t="str">
        <f>"Consorzio di bonifica Bacchiglione"</f>
        <v>Consorzio di bonifica Bacchiglione</v>
      </c>
      <c r="I1612" t="str">
        <f>"92223390284"</f>
        <v>92223390284</v>
      </c>
      <c r="J1612" t="str">
        <f>"23-AFFIDAMENTO DIRETTO"</f>
        <v>23-AFFIDAMENTO DIRETTO</v>
      </c>
      <c r="K1612" t="str">
        <f>"26/07/2021"</f>
        <v>26/07/2021</v>
      </c>
      <c r="L1612" t="str">
        <f>"16/09/2021"</f>
        <v>16/09/2021</v>
      </c>
      <c r="M1612" t="str">
        <f>""</f>
        <v/>
      </c>
      <c r="N1612" t="str">
        <f>"Idronord s.r.l. Via delle Industrie 3C 30036 Santa Maria Di Sala VE"</f>
        <v>Idronord s.r.l. Via delle Industrie 3C 30036 Santa Maria Di Sala VE</v>
      </c>
      <c r="O1612" t="str">
        <f>"Idronord s.r.l. Via delle Industrie 3C 30036 Santa Maria Di Sala VE"</f>
        <v>Idronord s.r.l. Via delle Industrie 3C 30036 Santa Maria Di Sala VE</v>
      </c>
      <c r="P1612" t="str">
        <f>"Z3E1AC49F1: [244.38€ ]"</f>
        <v>Z3E1AC49F1: [244.38€ ]</v>
      </c>
      <c r="Q1612" t="str">
        <f>""</f>
        <v/>
      </c>
      <c r="R1612" t="str">
        <f>""</f>
        <v/>
      </c>
      <c r="S1612" t="str">
        <f>""</f>
        <v/>
      </c>
      <c r="T1612" t="str">
        <f>"https://portaletrasparenza.consorziobacchiglione.it/dettagli/attodigara/619/fornitura-materiale-edile-per-scolo-stecche.html"</f>
        <v>https://portaletrasparenza.consorziobacchiglione.it/dettagli/attodigara/619/fornitura-materiale-edile-per-scolo-stecche.html</v>
      </c>
      <c r="U1612" t="str">
        <f>""</f>
        <v/>
      </c>
      <c r="V16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13" spans="1:22" x14ac:dyDescent="0.3">
      <c r="A1613" t="str">
        <f>"Affidamento"</f>
        <v>Affidamento</v>
      </c>
      <c r="B1613" t="str">
        <f>"Fornitura bombola gpl da 15 kg per bacino Delta Brenta."</f>
        <v>Fornitura bombola gpl da 15 kg per bacino Delta Brenta.</v>
      </c>
      <c r="C1613" t="str">
        <f>"Z271AC44B9"</f>
        <v>Z271AC44B9</v>
      </c>
      <c r="D1613" t="str">
        <f>"04/11/2021"</f>
        <v>04/11/2021</v>
      </c>
      <c r="E1613" t="str">
        <f>""</f>
        <v/>
      </c>
      <c r="F1613" t="str">
        <f>""</f>
        <v/>
      </c>
      <c r="G1613" t="str">
        <f>"33.00"</f>
        <v>33.00</v>
      </c>
      <c r="H1613" t="str">
        <f>"Consorzio di bonifica Bacchiglione"</f>
        <v>Consorzio di bonifica Bacchiglione</v>
      </c>
      <c r="I1613" t="str">
        <f>"92223390284"</f>
        <v>92223390284</v>
      </c>
      <c r="J1613" t="str">
        <f>"23-AFFIDAMENTO DIRETTO"</f>
        <v>23-AFFIDAMENTO DIRETTO</v>
      </c>
      <c r="K1613" t="str">
        <f>"26/07/2021"</f>
        <v>26/07/2021</v>
      </c>
      <c r="L1613" t="str">
        <f>"03/01/2021"</f>
        <v>03/01/2021</v>
      </c>
      <c r="M1613" t="str">
        <f>""</f>
        <v/>
      </c>
      <c r="N1613" t="str">
        <f>"Gollo Giovanni Via Vallona 65 35020 Conche di Codevigo PD"</f>
        <v>Gollo Giovanni Via Vallona 65 35020 Conche di Codevigo PD</v>
      </c>
      <c r="O1613" t="str">
        <f>"Gollo Giovanni Via Vallona 65 35020 Conche di Codevigo PD"</f>
        <v>Gollo Giovanni Via Vallona 65 35020 Conche di Codevigo PD</v>
      </c>
      <c r="P1613" t="str">
        <f>"Z271AC44B9: [33.00€ ]"</f>
        <v>Z271AC44B9: [33.00€ ]</v>
      </c>
      <c r="Q1613" t="str">
        <f>""</f>
        <v/>
      </c>
      <c r="R1613" t="str">
        <f>""</f>
        <v/>
      </c>
      <c r="S1613" t="str">
        <f>""</f>
        <v/>
      </c>
      <c r="T1613" t="str">
        <f>"https://portaletrasparenza.consorziobacchiglione.it/dettagli/attodigara/618/fornitura-bombola-gpl-da-15-kg-per-bacino-delta-brenta.html"</f>
        <v>https://portaletrasparenza.consorziobacchiglione.it/dettagli/attodigara/618/fornitura-bombola-gpl-da-15-kg-per-bacino-delta-brenta.html</v>
      </c>
      <c r="U1613" t="str">
        <f>""</f>
        <v/>
      </c>
      <c r="V16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14" spans="1:22" x14ac:dyDescent="0.3">
      <c r="A1614" t="str">
        <f>"Affidamento"</f>
        <v>Affidamento</v>
      </c>
      <c r="B1614" t="str">
        <f>"Riparazione e manutenzione mezzo con targa:AGZ838."</f>
        <v>Riparazione e manutenzione mezzo con targa:AGZ838.</v>
      </c>
      <c r="C1614" t="str">
        <f>"ZD11AC4185"</f>
        <v>ZD11AC4185</v>
      </c>
      <c r="D1614" t="str">
        <f>"04/11/2021"</f>
        <v>04/11/2021</v>
      </c>
      <c r="E1614" t="str">
        <f>""</f>
        <v/>
      </c>
      <c r="F1614" t="str">
        <f>""</f>
        <v/>
      </c>
      <c r="G1614" t="str">
        <f>"1415.05"</f>
        <v>1415.05</v>
      </c>
      <c r="H1614" t="str">
        <f>"Consorzio di bonifica Bacchiglione"</f>
        <v>Consorzio di bonifica Bacchiglione</v>
      </c>
      <c r="I1614" t="str">
        <f>"92223390284"</f>
        <v>92223390284</v>
      </c>
      <c r="J1614" t="str">
        <f>"23-AFFIDAMENTO DIRETTO"</f>
        <v>23-AFFIDAMENTO DIRETTO</v>
      </c>
      <c r="K1614" t="str">
        <f>"26/07/2021"</f>
        <v>26/07/2021</v>
      </c>
      <c r="L1614" t="str">
        <f>"05/10/2021"</f>
        <v>05/10/2021</v>
      </c>
      <c r="M1614" t="str">
        <f>""</f>
        <v/>
      </c>
      <c r="N1614" t="str">
        <f>"Adriatica Commerciale Macchine s.r.l. Via dell'Artigianato 5 35020 Due Carrare PD"</f>
        <v>Adriatica Commerciale Macchine s.r.l. Via dell'Artigianato 5 35020 Due Carrare PD</v>
      </c>
      <c r="O1614" t="str">
        <f>"Adriatica Commerciale Macchine s.r.l. Via dell'Artigianato 5 35020 Due Carrare PD"</f>
        <v>Adriatica Commerciale Macchine s.r.l. Via dell'Artigianato 5 35020 Due Carrare PD</v>
      </c>
      <c r="P1614" t="str">
        <f>"ZD11AC4185: [1415.05€ ]"</f>
        <v>ZD11AC4185: [1415.05€ ]</v>
      </c>
      <c r="Q1614" t="str">
        <f>""</f>
        <v/>
      </c>
      <c r="R1614" t="str">
        <f>""</f>
        <v/>
      </c>
      <c r="S1614" t="str">
        <f>""</f>
        <v/>
      </c>
      <c r="T1614" t="str">
        <f>"https://portaletrasparenza.consorziobacchiglione.it/dettagli/attodigara/617/riparazione-e-manutenzione-mezzo-con-targa-agz838.html"</f>
        <v>https://portaletrasparenza.consorziobacchiglione.it/dettagli/attodigara/617/riparazione-e-manutenzione-mezzo-con-targa-agz838.html</v>
      </c>
      <c r="U1614" t="str">
        <f>""</f>
        <v/>
      </c>
      <c r="V161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15" spans="1:22" x14ac:dyDescent="0.3">
      <c r="A1615" t="str">
        <f>"Affidamento"</f>
        <v>Affidamento</v>
      </c>
      <c r="B1615" t="str">
        <f>"Studi ambientali (Acustici, VIA, VINCA, progettazione interventi di forestazione) - Processo ID 021-21."</f>
        <v>Studi ambientali (Acustici, VIA, VINCA, progettazione interventi di forestazione) - Processo ID 021-21.</v>
      </c>
      <c r="C1615" t="str">
        <f>"8826454C40"</f>
        <v>8826454C40</v>
      </c>
      <c r="D1615" t="str">
        <f>"26/07/2021"</f>
        <v>26/07/2021</v>
      </c>
      <c r="E1615" t="str">
        <f>""</f>
        <v/>
      </c>
      <c r="F1615" t="str">
        <f>""</f>
        <v/>
      </c>
      <c r="G1615" t="str">
        <f>"49831.25"</f>
        <v>49831.25</v>
      </c>
      <c r="H1615" t="str">
        <f>"Consorzio di bonifica Bacchiglione"</f>
        <v>Consorzio di bonifica Bacchiglione</v>
      </c>
      <c r="I1615" t="str">
        <f>"92223390284"</f>
        <v>92223390284</v>
      </c>
      <c r="J1615" t="str">
        <f>"23-AFFIDAMENTO DIRETTO"</f>
        <v>23-AFFIDAMENTO DIRETTO</v>
      </c>
      <c r="K1615" t="str">
        <f>"26/07/2021"</f>
        <v>26/07/2021</v>
      </c>
      <c r="L1615" t="str">
        <f>"08/06/2022"</f>
        <v>08/06/2022</v>
      </c>
      <c r="M1615" t="str">
        <f>""</f>
        <v/>
      </c>
      <c r="N1615" t="str">
        <f>"Arcadia di Michele Marchesin"</f>
        <v>Arcadia di Michele Marchesin</v>
      </c>
      <c r="O1615" t="str">
        <f>"Arcadia di Michele Marchesin"</f>
        <v>Arcadia di Michele Marchesin</v>
      </c>
      <c r="P1615" t="s">
        <v>139</v>
      </c>
      <c r="Q1615" t="str">
        <f>""</f>
        <v/>
      </c>
      <c r="R1615" t="str">
        <f>""</f>
        <v/>
      </c>
      <c r="S1615" t="str">
        <f>""</f>
        <v/>
      </c>
      <c r="T1615" t="str">
        <f>"https://portaletrasparenza.consorziobacchiglione.it/dettagli/attodigara/7022/studi-ambientali-acustici-via-vinca-progettazione-interventi-di-forestazione-processo-id-021-21.html"</f>
        <v>https://portaletrasparenza.consorziobacchiglione.it/dettagli/attodigara/7022/studi-ambientali-acustici-via-vinca-progettazione-interventi-di-forestazione-processo-id-021-21.html</v>
      </c>
      <c r="U1615" t="str">
        <f>"https://portaletrasparenza.consorziobacchiglione.it/download/attodigara/7022/63ac45aa46810.PDF"</f>
        <v>https://portaletrasparenza.consorziobacchiglione.it/download/attodigara/7022/63ac45aa46810.PDF</v>
      </c>
      <c r="V161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16" spans="1:22" x14ac:dyDescent="0.3">
      <c r="A1616" t="str">
        <f>"Affidamento"</f>
        <v>Affidamento</v>
      </c>
      <c r="B1616" t="str">
        <f>"Caratterizzazione geotecnica dei terreni con redazione di relazione geologica - Processo ID 021-21."</f>
        <v>Caratterizzazione geotecnica dei terreni con redazione di relazione geologica - Processo ID 021-21.</v>
      </c>
      <c r="C1616" t="str">
        <f>"8822401B9C"</f>
        <v>8822401B9C</v>
      </c>
      <c r="D1616" t="str">
        <f>"26/07/2021"</f>
        <v>26/07/2021</v>
      </c>
      <c r="E1616" t="str">
        <f>""</f>
        <v/>
      </c>
      <c r="F1616" t="str">
        <f>""</f>
        <v/>
      </c>
      <c r="G1616" t="str">
        <f>"64999.02"</f>
        <v>64999.02</v>
      </c>
      <c r="H1616" t="str">
        <f>"Consorzio di bonifica Bacchiglione"</f>
        <v>Consorzio di bonifica Bacchiglione</v>
      </c>
      <c r="I1616" t="str">
        <f>"92223390284"</f>
        <v>92223390284</v>
      </c>
      <c r="J1616" t="str">
        <f>"23-AFFIDAMENTO DIRETTO"</f>
        <v>23-AFFIDAMENTO DIRETTO</v>
      </c>
      <c r="K1616" t="str">
        <f>"26/07/2021"</f>
        <v>26/07/2021</v>
      </c>
      <c r="L1616" t="str">
        <f>"20/06/2023"</f>
        <v>20/06/2023</v>
      </c>
      <c r="M1616" t="str">
        <f>""</f>
        <v/>
      </c>
      <c r="N1616" t="str">
        <f>"Geologia Tecnica sas di Vorlicek P.A. E C."</f>
        <v>Geologia Tecnica sas di Vorlicek P.A. E C.</v>
      </c>
      <c r="O1616" t="str">
        <f>"Geologia Tecnica sas di Vorlicek P.A. E C."</f>
        <v>Geologia Tecnica sas di Vorlicek P.A. E C.</v>
      </c>
      <c r="P1616" t="str">
        <f>"8822401B9C: [55146.44€ ]"</f>
        <v>8822401B9C: [55146.44€ ]</v>
      </c>
      <c r="Q1616" t="str">
        <f>""</f>
        <v/>
      </c>
      <c r="R1616" t="str">
        <f>""</f>
        <v/>
      </c>
      <c r="S1616" t="str">
        <f>""</f>
        <v/>
      </c>
      <c r="T1616" t="str">
        <f>"https://portaletrasparenza.consorziobacchiglione.it/dettagli/attodigara/7021/caratterizzazione-geotecnica-dei-terreni-con-redazione-di-relazione-geologica-processo-id-021-21.html"</f>
        <v>https://portaletrasparenza.consorziobacchiglione.it/dettagli/attodigara/7021/caratterizzazione-geotecnica-dei-terreni-con-redazione-di-relazione-geologica-processo-id-021-21.html</v>
      </c>
      <c r="U1616" t="str">
        <f>"https://portaletrasparenza.consorziobacchiglione.it/download/attodigara/7021/63ac45aa808b3.PDF"</f>
        <v>https://portaletrasparenza.consorziobacchiglione.it/download/attodigara/7021/63ac45aa808b3.PDF</v>
      </c>
      <c r="V1616">
        <f>(SUBSTITUTE(Tabella1[[#This Row],[Importo di aggiudicazione]],".",","))-(SUBSTITUTE(  SUBSTITUTE(          SUBSTITUTE(Tabella1[[#This Row],[Dettaglio somme liquidate]],Tabella1[[#This Row],[CIG]]&amp;": [",""),"€ ]",""),".",","))</f>
        <v>9852.5799999999945</v>
      </c>
    </row>
    <row r="1617" spans="1:22" x14ac:dyDescent="0.3">
      <c r="A1617" t="str">
        <f>"Affidamento"</f>
        <v>Affidamento</v>
      </c>
      <c r="B1617" t="str">
        <f>"Servizio di pesatura delle forniture consegnate presso il C.O.S.Margherita di Codevigo"</f>
        <v>Servizio di pesatura delle forniture consegnate presso il C.O.S.Margherita di Codevigo</v>
      </c>
      <c r="C1617" t="str">
        <f>"Z3E3296E45"</f>
        <v>Z3E3296E45</v>
      </c>
      <c r="D1617" t="str">
        <f>"27/07/2021"</f>
        <v>27/07/2021</v>
      </c>
      <c r="E1617" t="str">
        <f>""</f>
        <v/>
      </c>
      <c r="F1617" t="str">
        <f>""</f>
        <v/>
      </c>
      <c r="G1617" t="str">
        <f>"1639.34"</f>
        <v>1639.34</v>
      </c>
      <c r="H1617" t="str">
        <f>"Consorzio di bonifica Bacchiglione"</f>
        <v>Consorzio di bonifica Bacchiglione</v>
      </c>
      <c r="I1617" t="str">
        <f>"92223390284"</f>
        <v>92223390284</v>
      </c>
      <c r="J1617" t="str">
        <f>"23-AFFIDAMENTO DIRETTO"</f>
        <v>23-AFFIDAMENTO DIRETTO</v>
      </c>
      <c r="K1617" t="str">
        <f>"26/07/2021"</f>
        <v>26/07/2021</v>
      </c>
      <c r="L1617" t="str">
        <f>"24/08/2023"</f>
        <v>24/08/2023</v>
      </c>
      <c r="M1617" t="str">
        <f>""</f>
        <v/>
      </c>
      <c r="N1617" t="str">
        <f>"Siro Marin Costruzioni Metalliche Via S.Margherita 11, 35020 Correzzola (PD)"</f>
        <v>Siro Marin Costruzioni Metalliche Via S.Margherita 11, 35020 Correzzola (PD)</v>
      </c>
      <c r="O1617" t="str">
        <f>"Siro Marin Costruzioni Metalliche Via S.Margherita 11, 35020 Correzzola (PD)"</f>
        <v>Siro Marin Costruzioni Metalliche Via S.Margherita 11, 35020 Correzzola (PD)</v>
      </c>
      <c r="P1617" t="s">
        <v>272</v>
      </c>
      <c r="Q1617" t="str">
        <f>""</f>
        <v/>
      </c>
      <c r="R1617" t="str">
        <f>""</f>
        <v/>
      </c>
      <c r="S1617" t="str">
        <f>""</f>
        <v/>
      </c>
      <c r="T1617" t="str">
        <f>"https://portaletrasparenza.consorziobacchiglione.it/dettagli/attodigara/7023/servizio-di-pesatura-delle-forniture-consegnate-presso-il-c-o-s-margherita-di-codevigo.html"</f>
        <v>https://portaletrasparenza.consorziobacchiglione.it/dettagli/attodigara/7023/servizio-di-pesatura-delle-forniture-consegnate-presso-il-c-o-s-margherita-di-codevigo.html</v>
      </c>
      <c r="U1617" t="str">
        <f>"https://portaletrasparenza.consorziobacchiglione.it/download/attodigara/7023/63ac45ab42050.PDF"</f>
        <v>https://portaletrasparenza.consorziobacchiglione.it/download/attodigara/7023/63ac45ab42050.PDF</v>
      </c>
      <c r="V161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18" spans="1:22" x14ac:dyDescent="0.3">
      <c r="A1618" t="str">
        <f>"Affidamento"</f>
        <v>Affidamento</v>
      </c>
      <c r="B1618" t="str">
        <f>"Trasporto escavatore Liebherr 904 da Corte di Piove di Sacco a Valli di Chioggia"</f>
        <v>Trasporto escavatore Liebherr 904 da Corte di Piove di Sacco a Valli di Chioggia</v>
      </c>
      <c r="C1618" t="str">
        <f>"Z873297438"</f>
        <v>Z873297438</v>
      </c>
      <c r="D1618" t="str">
        <f>"27/07/2021"</f>
        <v>27/07/2021</v>
      </c>
      <c r="E1618" t="str">
        <f>""</f>
        <v/>
      </c>
      <c r="F1618" t="str">
        <f>""</f>
        <v/>
      </c>
      <c r="G1618" t="str">
        <f>"180.00"</f>
        <v>180.00</v>
      </c>
      <c r="H1618" t="str">
        <f>"Consorzio di bonifica Bacchiglione"</f>
        <v>Consorzio di bonifica Bacchiglione</v>
      </c>
      <c r="I1618" t="str">
        <f>"92223390284"</f>
        <v>92223390284</v>
      </c>
      <c r="J1618" t="str">
        <f>"23-AFFIDAMENTO DIRETTO"</f>
        <v>23-AFFIDAMENTO DIRETTO</v>
      </c>
      <c r="K1618" t="str">
        <f>"26/07/2021"</f>
        <v>26/07/2021</v>
      </c>
      <c r="L1618" t="str">
        <f>"31/07/2021"</f>
        <v>31/07/2021</v>
      </c>
      <c r="M1618" t="str">
        <f>""</f>
        <v/>
      </c>
      <c r="N1618" t="str">
        <f>"Trovò s.r.l. Via Idrovora, 3 - 35020 Codevigo (PD)"</f>
        <v>Trovò s.r.l. Via Idrovora, 3 - 35020 Codevigo (PD)</v>
      </c>
      <c r="O1618" t="str">
        <f>"Trovò s.r.l. Via Idrovora, 3 - 35020 Codevigo (PD)"</f>
        <v>Trovò s.r.l. Via Idrovora, 3 - 35020 Codevigo (PD)</v>
      </c>
      <c r="P1618" t="str">
        <f>"Z873297438: [180.00€ ]"</f>
        <v>Z873297438: [180.00€ ]</v>
      </c>
      <c r="Q1618" t="str">
        <f>""</f>
        <v/>
      </c>
      <c r="R1618" t="str">
        <f>""</f>
        <v/>
      </c>
      <c r="S1618" t="str">
        <f>""</f>
        <v/>
      </c>
      <c r="T1618" t="str">
        <f>"https://portaletrasparenza.consorziobacchiglione.it/dettagli/attodigara/7025/trasporto-escavatore-liebherr-904-da-corte-di-piove-di-sacco-a-valli-di-chioggia.html"</f>
        <v>https://portaletrasparenza.consorziobacchiglione.it/dettagli/attodigara/7025/trasporto-escavatore-liebherr-904-da-corte-di-piove-di-sacco-a-valli-di-chioggia.html</v>
      </c>
      <c r="U1618" t="str">
        <f>"https://portaletrasparenza.consorziobacchiglione.it/download/attodigara/7025/63ac45abb33cf.PDF"</f>
        <v>https://portaletrasparenza.consorziobacchiglione.it/download/attodigara/7025/63ac45abb33cf.PDF</v>
      </c>
      <c r="V161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19" spans="1:22" x14ac:dyDescent="0.3">
      <c r="A1619" t="str">
        <f>"Affidamento"</f>
        <v>Affidamento</v>
      </c>
      <c r="B1619" t="str">
        <f>"Manutenzione e riparazione mezzi targati: PDAH521, AGZ838, AGK711, AJP870"</f>
        <v>Manutenzione e riparazione mezzi targati: PDAH521, AGZ838, AGK711, AJP870</v>
      </c>
      <c r="C1619" t="str">
        <f>"Z5A32971E5"</f>
        <v>Z5A32971E5</v>
      </c>
      <c r="D1619" t="str">
        <f>"27/07/2021"</f>
        <v>27/07/2021</v>
      </c>
      <c r="E1619" t="str">
        <f>""</f>
        <v/>
      </c>
      <c r="F1619" t="str">
        <f>""</f>
        <v/>
      </c>
      <c r="G1619" t="str">
        <f>"3415.40"</f>
        <v>3415.40</v>
      </c>
      <c r="H1619" t="str">
        <f>"Consorzio di bonifica Bacchiglione"</f>
        <v>Consorzio di bonifica Bacchiglione</v>
      </c>
      <c r="I1619" t="str">
        <f>"92223390284"</f>
        <v>92223390284</v>
      </c>
      <c r="J1619" t="str">
        <f>"23-AFFIDAMENTO DIRETTO"</f>
        <v>23-AFFIDAMENTO DIRETTO</v>
      </c>
      <c r="K1619" t="str">
        <f>"26/07/2021"</f>
        <v>26/07/2021</v>
      </c>
      <c r="L1619" t="str">
        <f>"19/08/2021"</f>
        <v>19/08/2021</v>
      </c>
      <c r="M1619" t="str">
        <f>""</f>
        <v/>
      </c>
      <c r="N1619" t="str">
        <f>"Adriatica Commerciale Macchine s.r.l. Via dell'Artigianato 5 35020 Due Carrare PD"</f>
        <v>Adriatica Commerciale Macchine s.r.l. Via dell'Artigianato 5 35020 Due Carrare PD</v>
      </c>
      <c r="O1619" t="str">
        <f>"Adriatica Commerciale Macchine s.r.l. Via dell'Artigianato 5 35020 Due Carrare PD"</f>
        <v>Adriatica Commerciale Macchine s.r.l. Via dell'Artigianato 5 35020 Due Carrare PD</v>
      </c>
      <c r="P1619" t="str">
        <f>"Z5A32971E5: [3415.40€ ]"</f>
        <v>Z5A32971E5: [3415.40€ ]</v>
      </c>
      <c r="Q1619" t="str">
        <f>""</f>
        <v/>
      </c>
      <c r="R1619" t="str">
        <f>""</f>
        <v/>
      </c>
      <c r="S1619" t="str">
        <f>""</f>
        <v/>
      </c>
      <c r="T1619" t="str">
        <f>"https://portaletrasparenza.consorziobacchiglione.it/dettagli/attodigara/7024/manutenzione-e-riparazione-mezzi-targati-pdah521-agz838-agk711-ajp870.html"</f>
        <v>https://portaletrasparenza.consorziobacchiglione.it/dettagli/attodigara/7024/manutenzione-e-riparazione-mezzi-targati-pdah521-agz838-agk711-ajp870.html</v>
      </c>
      <c r="U1619" t="str">
        <f>"https://portaletrasparenza.consorziobacchiglione.it/download/attodigara/7024/63ac45ab7aa37.PDF"</f>
        <v>https://portaletrasparenza.consorziobacchiglione.it/download/attodigara/7024/63ac45ab7aa37.PDF</v>
      </c>
      <c r="V161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20" spans="1:22" x14ac:dyDescent="0.3">
      <c r="A1620" t="str">
        <f>"Affidamento"</f>
        <v>Affidamento</v>
      </c>
      <c r="B1620" t="str">
        <f>"Redazione progetto definitivo - Processo ID 021-21."</f>
        <v>Redazione progetto definitivo - Processo ID 021-21.</v>
      </c>
      <c r="C1620" t="str">
        <f>"88264107F2"</f>
        <v>88264107F2</v>
      </c>
      <c r="D1620" t="str">
        <f>"27/07/2021"</f>
        <v>27/07/2021</v>
      </c>
      <c r="E1620" t="str">
        <f>""</f>
        <v/>
      </c>
      <c r="F1620" t="str">
        <f>""</f>
        <v/>
      </c>
      <c r="G1620" t="str">
        <f>"130027.18"</f>
        <v>130027.18</v>
      </c>
      <c r="H1620" t="str">
        <f>"Consorzio di bonifica Bacchiglione"</f>
        <v>Consorzio di bonifica Bacchiglione</v>
      </c>
      <c r="I1620" t="str">
        <f>"92223390284"</f>
        <v>92223390284</v>
      </c>
      <c r="J1620" t="str">
        <f>"23-AFFIDAMENTO DIRETTO"</f>
        <v>23-AFFIDAMENTO DIRETTO</v>
      </c>
      <c r="K1620" t="str">
        <f>"26/07/2021"</f>
        <v>26/07/2021</v>
      </c>
      <c r="L1620" t="str">
        <f>"10/12/2021"</f>
        <v>10/12/2021</v>
      </c>
      <c r="M1620" t="str">
        <f>""</f>
        <v/>
      </c>
      <c r="N1620" t="str">
        <f>"Ingegneria 2P E Associati S.r.l."</f>
        <v>Ingegneria 2P E Associati S.r.l.</v>
      </c>
      <c r="O1620" t="str">
        <f>"Ingegneria 2P E Associati S.r.l."</f>
        <v>Ingegneria 2P E Associati S.r.l.</v>
      </c>
      <c r="P1620" t="str">
        <f>"88264107F2: [130027.17€ ]"</f>
        <v>88264107F2: [130027.17€ ]</v>
      </c>
      <c r="Q1620" t="str">
        <f>""</f>
        <v/>
      </c>
      <c r="R1620" t="str">
        <f>""</f>
        <v/>
      </c>
      <c r="S1620" t="str">
        <f>""</f>
        <v/>
      </c>
      <c r="T1620" t="str">
        <f>"https://portaletrasparenza.consorziobacchiglione.it/dettagli/attodigara/7020/redazione-progetto-definitivo-processo-id-021-21.html"</f>
        <v>https://portaletrasparenza.consorziobacchiglione.it/dettagli/attodigara/7020/redazione-progetto-definitivo-processo-id-021-21.html</v>
      </c>
      <c r="U1620" t="str">
        <f>"https://portaletrasparenza.consorziobacchiglione.it/download/attodigara/7020/63ac45aab96c0.PDF"</f>
        <v>https://portaletrasparenza.consorziobacchiglione.it/download/attodigara/7020/63ac45aab96c0.PDF</v>
      </c>
      <c r="V1620">
        <f>(SUBSTITUTE(Tabella1[[#This Row],[Importo di aggiudicazione]],".",","))-(SUBSTITUTE(  SUBSTITUTE(          SUBSTITUTE(Tabella1[[#This Row],[Dettaglio somme liquidate]],Tabella1[[#This Row],[CIG]]&amp;": [",""),"€ ]",""),".",","))</f>
        <v>9.9999999947613105E-3</v>
      </c>
    </row>
    <row r="1621" spans="1:22" x14ac:dyDescent="0.3">
      <c r="A1621" t="str">
        <f>"Affidamento"</f>
        <v>Affidamento</v>
      </c>
      <c r="B1621" t="str">
        <f>"Riparazione e manutenzione mezzo con targa: PDAH157, cingolato 904."</f>
        <v>Riparazione e manutenzione mezzo con targa: PDAH157, cingolato 904.</v>
      </c>
      <c r="C1621" t="str">
        <f>"ZA21AFE9F2"</f>
        <v>ZA21AFE9F2</v>
      </c>
      <c r="D1621" t="str">
        <f>"04/11/2021"</f>
        <v>04/11/2021</v>
      </c>
      <c r="E1621" t="str">
        <f>""</f>
        <v/>
      </c>
      <c r="F1621" t="str">
        <f>""</f>
        <v/>
      </c>
      <c r="G1621" t="str">
        <f>"2148.90"</f>
        <v>2148.90</v>
      </c>
      <c r="H1621" t="str">
        <f>"Consorzio di bonifica Bacchiglione"</f>
        <v>Consorzio di bonifica Bacchiglione</v>
      </c>
      <c r="I1621" t="str">
        <f>"92223390284"</f>
        <v>92223390284</v>
      </c>
      <c r="J1621" t="str">
        <f>"23-AFFIDAMENTO DIRETTO"</f>
        <v>23-AFFIDAMENTO DIRETTO</v>
      </c>
      <c r="K1621" t="str">
        <f>"26/08/2021"</f>
        <v>26/08/2021</v>
      </c>
      <c r="L1621" t="str">
        <f>"03/01/2021"</f>
        <v>03/01/2021</v>
      </c>
      <c r="M1621" t="str">
        <f>""</f>
        <v/>
      </c>
      <c r="N1621" t="str">
        <f>"Adriatica Commerciale Macchine s.r.l. Via dell'Artigianato 5 35020 Due Carrare PD"</f>
        <v>Adriatica Commerciale Macchine s.r.l. Via dell'Artigianato 5 35020 Due Carrare PD</v>
      </c>
      <c r="O1621" t="str">
        <f>"Adriatica Commerciale Macchine s.r.l. Via dell'Artigianato 5 35020 Due Carrare PD"</f>
        <v>Adriatica Commerciale Macchine s.r.l. Via dell'Artigianato 5 35020 Due Carrare PD</v>
      </c>
      <c r="P1621" t="str">
        <f>"ZA21AFE9F2: [2148.90€ ]"</f>
        <v>ZA21AFE9F2: [2148.90€ ]</v>
      </c>
      <c r="Q1621" t="str">
        <f>""</f>
        <v/>
      </c>
      <c r="R1621" t="str">
        <f>""</f>
        <v/>
      </c>
      <c r="S1621" t="str">
        <f>""</f>
        <v/>
      </c>
      <c r="T1621" t="str">
        <f>"https://portaletrasparenza.consorziobacchiglione.it/dettagli/attodigara/698/riparazione-e-manutenzione-mezzo-con-targa-pdah157-cingolato-904.html"</f>
        <v>https://portaletrasparenza.consorziobacchiglione.it/dettagli/attodigara/698/riparazione-e-manutenzione-mezzo-con-targa-pdah157-cingolato-904.html</v>
      </c>
      <c r="U1621" t="str">
        <f>""</f>
        <v/>
      </c>
      <c r="V16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22" spans="1:22" x14ac:dyDescent="0.3">
      <c r="A1622" t="str">
        <f>"Affidamento"</f>
        <v>Affidamento</v>
      </c>
      <c r="B1622" t="str">
        <f>"Riparazione e manutenzione mezzo con targa: AFW043."</f>
        <v>Riparazione e manutenzione mezzo con targa: AFW043.</v>
      </c>
      <c r="C1622" t="str">
        <f>"ZD71AFE986"</f>
        <v>ZD71AFE986</v>
      </c>
      <c r="D1622" t="str">
        <f>"04/11/2021"</f>
        <v>04/11/2021</v>
      </c>
      <c r="E1622" t="str">
        <f>""</f>
        <v/>
      </c>
      <c r="F1622" t="str">
        <f>""</f>
        <v/>
      </c>
      <c r="G1622" t="str">
        <f>"2722.95"</f>
        <v>2722.95</v>
      </c>
      <c r="H1622" t="str">
        <f>"Consorzio di bonifica Bacchiglione"</f>
        <v>Consorzio di bonifica Bacchiglione</v>
      </c>
      <c r="I1622" t="str">
        <f>"92223390284"</f>
        <v>92223390284</v>
      </c>
      <c r="J1622" t="str">
        <f>"23-AFFIDAMENTO DIRETTO"</f>
        <v>23-AFFIDAMENTO DIRETTO</v>
      </c>
      <c r="K1622" t="str">
        <f>"26/08/2021"</f>
        <v>26/08/2021</v>
      </c>
      <c r="L1622" t="str">
        <f>"16/09/2021"</f>
        <v>16/09/2021</v>
      </c>
      <c r="M1622" t="str">
        <f>""</f>
        <v/>
      </c>
      <c r="N1622" t="str">
        <f>"Energreen Via Pietre 73 36026 Cagnano di Pojana Maggiore VI"</f>
        <v>Energreen Via Pietre 73 36026 Cagnano di Pojana Maggiore VI</v>
      </c>
      <c r="O1622" t="str">
        <f>"Energreen Via Pietre 73 36026 Cagnano di Pojana Maggiore VI"</f>
        <v>Energreen Via Pietre 73 36026 Cagnano di Pojana Maggiore VI</v>
      </c>
      <c r="P1622" t="str">
        <f>"ZD71AFE986: [2722.95€ ]"</f>
        <v>ZD71AFE986: [2722.95€ ]</v>
      </c>
      <c r="Q1622" t="str">
        <f>""</f>
        <v/>
      </c>
      <c r="R1622" t="str">
        <f>""</f>
        <v/>
      </c>
      <c r="S1622" t="str">
        <f>""</f>
        <v/>
      </c>
      <c r="T1622" t="str">
        <f>"https://portaletrasparenza.consorziobacchiglione.it/dettagli/attodigara/697/riparazione-e-manutenzione-mezzo-con-targa-afw043.html"</f>
        <v>https://portaletrasparenza.consorziobacchiglione.it/dettagli/attodigara/697/riparazione-e-manutenzione-mezzo-con-targa-afw043.html</v>
      </c>
      <c r="U1622" t="str">
        <f>""</f>
        <v/>
      </c>
      <c r="V16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23" spans="1:22" x14ac:dyDescent="0.3">
      <c r="A1623" t="str">
        <f>"Affidamento"</f>
        <v>Affidamento</v>
      </c>
      <c r="B1623" t="str">
        <f>"Riparazione e manutenzione mezzi con targa: EP107XC"</f>
        <v>Riparazione e manutenzione mezzi con targa: EP107XC</v>
      </c>
      <c r="C1623" t="str">
        <f>"Z2B1AFE64E"</f>
        <v>Z2B1AFE64E</v>
      </c>
      <c r="D1623" t="str">
        <f>"04/11/2021"</f>
        <v>04/11/2021</v>
      </c>
      <c r="E1623" t="str">
        <f>""</f>
        <v/>
      </c>
      <c r="F1623" t="str">
        <f>""</f>
        <v/>
      </c>
      <c r="G1623" t="str">
        <f>"1151.17"</f>
        <v>1151.17</v>
      </c>
      <c r="H1623" t="str">
        <f>"Consorzio di bonifica Bacchiglione"</f>
        <v>Consorzio di bonifica Bacchiglione</v>
      </c>
      <c r="I1623" t="str">
        <f>"92223390284"</f>
        <v>92223390284</v>
      </c>
      <c r="J1623" t="str">
        <f>"23-AFFIDAMENTO DIRETTO"</f>
        <v>23-AFFIDAMENTO DIRETTO</v>
      </c>
      <c r="K1623" t="str">
        <f>"26/08/2021"</f>
        <v>26/08/2021</v>
      </c>
      <c r="L1623" t="str">
        <f>"05/10/2021"</f>
        <v>05/10/2021</v>
      </c>
      <c r="M1623" t="str">
        <f>""</f>
        <v/>
      </c>
      <c r="N1623" t="str">
        <f>"Mardegan F.lli s.n.c. Via Argine Destro 13A 35020 Brenta di Correzzola PD"</f>
        <v>Mardegan F.lli s.n.c. Via Argine Destro 13A 35020 Brenta di Correzzola PD</v>
      </c>
      <c r="O1623" t="str">
        <f>"Mardegan F.lli s.n.c. Via Argine Destro 13A 35020 Brenta di Correzzola PD"</f>
        <v>Mardegan F.lli s.n.c. Via Argine Destro 13A 35020 Brenta di Correzzola PD</v>
      </c>
      <c r="P1623" t="str">
        <f>"Z2B1AFE64E: [1151.17€ ]"</f>
        <v>Z2B1AFE64E: [1151.17€ ]</v>
      </c>
      <c r="Q1623" t="str">
        <f>""</f>
        <v/>
      </c>
      <c r="R1623" t="str">
        <f>""</f>
        <v/>
      </c>
      <c r="S1623" t="str">
        <f>""</f>
        <v/>
      </c>
      <c r="T1623" t="str">
        <f>"https://portaletrasparenza.consorziobacchiglione.it/dettagli/attodigara/695/riparazione-e-manutenzione-mezzi-con-targa-ep107xc.html"</f>
        <v>https://portaletrasparenza.consorziobacchiglione.it/dettagli/attodigara/695/riparazione-e-manutenzione-mezzi-con-targa-ep107xc.html</v>
      </c>
      <c r="U1623" t="str">
        <f>""</f>
        <v/>
      </c>
      <c r="V16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24" spans="1:22" x14ac:dyDescent="0.3">
      <c r="A1624" t="str">
        <f>"Affidamento"</f>
        <v>Affidamento</v>
      </c>
      <c r="B1624" t="str">
        <f>"Manutenzione e riparazione mezzo con targa. AKD221"</f>
        <v>Manutenzione e riparazione mezzo con targa. AKD221</v>
      </c>
      <c r="C1624" t="str">
        <f>"Z511AFD41D"</f>
        <v>Z511AFD41D</v>
      </c>
      <c r="D1624" t="str">
        <f>"04/11/2021"</f>
        <v>04/11/2021</v>
      </c>
      <c r="E1624" t="str">
        <f>""</f>
        <v/>
      </c>
      <c r="F1624" t="str">
        <f>""</f>
        <v/>
      </c>
      <c r="G1624" t="str">
        <f>"1071.60"</f>
        <v>1071.60</v>
      </c>
      <c r="H1624" t="str">
        <f>"Consorzio di bonifica Bacchiglione"</f>
        <v>Consorzio di bonifica Bacchiglione</v>
      </c>
      <c r="I1624" t="str">
        <f>"92223390284"</f>
        <v>92223390284</v>
      </c>
      <c r="J1624" t="str">
        <f>"23-AFFIDAMENTO DIRETTO"</f>
        <v>23-AFFIDAMENTO DIRETTO</v>
      </c>
      <c r="K1624" t="str">
        <f>"26/08/2021"</f>
        <v>26/08/2021</v>
      </c>
      <c r="L1624" t="str">
        <f>"14/10/2021"</f>
        <v>14/10/2021</v>
      </c>
      <c r="M1624" t="str">
        <f>""</f>
        <v/>
      </c>
      <c r="N1624" t="str">
        <f>"Agristop SAS di Gaiani Annalisa E C. Via Antoniana 35011 Campodarsego PD"</f>
        <v>Agristop SAS di Gaiani Annalisa E C. Via Antoniana 35011 Campodarsego PD</v>
      </c>
      <c r="O1624" t="str">
        <f>"Agristop SAS di Gaiani Annalisa E C. Via Antoniana 35011 Campodarsego PD"</f>
        <v>Agristop SAS di Gaiani Annalisa E C. Via Antoniana 35011 Campodarsego PD</v>
      </c>
      <c r="P1624" t="str">
        <f>"Z511AFD41D: [1071.60€ ]"</f>
        <v>Z511AFD41D: [1071.60€ ]</v>
      </c>
      <c r="Q1624" t="str">
        <f>""</f>
        <v/>
      </c>
      <c r="R1624" t="str">
        <f>""</f>
        <v/>
      </c>
      <c r="S1624" t="str">
        <f>""</f>
        <v/>
      </c>
      <c r="T1624" t="str">
        <f>"https://portaletrasparenza.consorziobacchiglione.it/dettagli/attodigara/694/manutenzione-e-riparazione-mezzo-con-targa-akd221.html"</f>
        <v>https://portaletrasparenza.consorziobacchiglione.it/dettagli/attodigara/694/manutenzione-e-riparazione-mezzo-con-targa-akd221.html</v>
      </c>
      <c r="U1624" t="str">
        <f>""</f>
        <v/>
      </c>
      <c r="V16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25" spans="1:22" x14ac:dyDescent="0.3">
      <c r="A1625" t="str">
        <f>"Affidamento"</f>
        <v>Affidamento</v>
      </c>
      <c r="B1625" t="str">
        <f>"Manutenzione riparazione e lavaggio mezzi con targa: PDAF496, AGK711, PDAH157, Motobarca n 2, G.E. Volvo."</f>
        <v>Manutenzione riparazione e lavaggio mezzi con targa: PDAF496, AGK711, PDAH157, Motobarca n 2, G.E. Volvo.</v>
      </c>
      <c r="C1625" t="str">
        <f>"Z9B1AFE714"</f>
        <v>Z9B1AFE714</v>
      </c>
      <c r="D1625" t="str">
        <f>"04/11/2021"</f>
        <v>04/11/2021</v>
      </c>
      <c r="E1625" t="str">
        <f>""</f>
        <v/>
      </c>
      <c r="F1625" t="str">
        <f>""</f>
        <v/>
      </c>
      <c r="G1625" t="str">
        <f>"4660.39"</f>
        <v>4660.39</v>
      </c>
      <c r="H1625" t="str">
        <f>"Consorzio di bonifica Bacchiglione"</f>
        <v>Consorzio di bonifica Bacchiglione</v>
      </c>
      <c r="I1625" t="str">
        <f>"92223390284"</f>
        <v>92223390284</v>
      </c>
      <c r="J1625" t="str">
        <f>"23-AFFIDAMENTO DIRETTO"</f>
        <v>23-AFFIDAMENTO DIRETTO</v>
      </c>
      <c r="K1625" t="str">
        <f>"26/08/2021"</f>
        <v>26/08/2021</v>
      </c>
      <c r="L1625" t="str">
        <f>"25/11/2021"</f>
        <v>25/11/2021</v>
      </c>
      <c r="M1625" t="str">
        <f>""</f>
        <v/>
      </c>
      <c r="N1625" t="str">
        <f>"Officina Biesse S.n.c. Via Matteotti 24 35020 Arzergrande PD"</f>
        <v>Officina Biesse S.n.c. Via Matteotti 24 35020 Arzergrande PD</v>
      </c>
      <c r="O1625" t="str">
        <f>"Officina Biesse S.n.c. Via Matteotti 24 35020 Arzergrande PD"</f>
        <v>Officina Biesse S.n.c. Via Matteotti 24 35020 Arzergrande PD</v>
      </c>
      <c r="P1625" t="str">
        <f>"Z9B1AFE714: [4660.28€ ]"</f>
        <v>Z9B1AFE714: [4660.28€ ]</v>
      </c>
      <c r="Q1625" t="str">
        <f>""</f>
        <v/>
      </c>
      <c r="R1625" t="str">
        <f>""</f>
        <v/>
      </c>
      <c r="S1625" t="str">
        <f>""</f>
        <v/>
      </c>
      <c r="T1625" t="str">
        <f>"https://portaletrasparenza.consorziobacchiglione.it/dettagli/attodigara/696/manutenzione-riparazione-e-lavaggio-mezzi-con-targa-pdaf496-agk711-pdah157-motobarca-n-2-g-e-volvo.html"</f>
        <v>https://portaletrasparenza.consorziobacchiglione.it/dettagli/attodigara/696/manutenzione-riparazione-e-lavaggio-mezzi-con-targa-pdaf496-agk711-pdah157-motobarca-n-2-g-e-volvo.html</v>
      </c>
      <c r="U1625" t="str">
        <f>""</f>
        <v/>
      </c>
      <c r="V1625">
        <f>(SUBSTITUTE(Tabella1[[#This Row],[Importo di aggiudicazione]],".",","))-(SUBSTITUTE(  SUBSTITUTE(          SUBSTITUTE(Tabella1[[#This Row],[Dettaglio somme liquidate]],Tabella1[[#This Row],[CIG]]&amp;": [",""),"€ ]",""),".",","))</f>
        <v>0.11000000000058208</v>
      </c>
    </row>
    <row r="1626" spans="1:22" x14ac:dyDescent="0.3">
      <c r="A1626" t="str">
        <f>"Affidamento"</f>
        <v>Affidamento</v>
      </c>
      <c r="B1626" t="str">
        <f>"Manutenzione e riparazione mezzo con targa: AJ206BM"</f>
        <v>Manutenzione e riparazione mezzo con targa: AJ206BM</v>
      </c>
      <c r="C1626" t="str">
        <f>"Z2432D8C21"</f>
        <v>Z2432D8C21</v>
      </c>
      <c r="D1626" t="str">
        <f>"27/08/2021"</f>
        <v>27/08/2021</v>
      </c>
      <c r="E1626" t="str">
        <f>""</f>
        <v/>
      </c>
      <c r="F1626" t="str">
        <f>""</f>
        <v/>
      </c>
      <c r="G1626" t="str">
        <f>"450.00"</f>
        <v>450.00</v>
      </c>
      <c r="H1626" t="str">
        <f>"Consorzio di bonifica Bacchiglione"</f>
        <v>Consorzio di bonifica Bacchiglione</v>
      </c>
      <c r="I1626" t="str">
        <f>"92223390284"</f>
        <v>92223390284</v>
      </c>
      <c r="J1626" t="str">
        <f>"23-AFFIDAMENTO DIRETTO"</f>
        <v>23-AFFIDAMENTO DIRETTO</v>
      </c>
      <c r="K1626" t="str">
        <f>"26/08/2021"</f>
        <v>26/08/2021</v>
      </c>
      <c r="L1626" t="str">
        <f>"08/09/2021"</f>
        <v>08/09/2021</v>
      </c>
      <c r="M1626" t="str">
        <f>""</f>
        <v/>
      </c>
      <c r="N1626" t="str">
        <f>"Carrozzeria Biasion S.N.C. Via Bassa 45 35020 Arzergrande PD"</f>
        <v>Carrozzeria Biasion S.N.C. Via Bassa 45 35020 Arzergrande PD</v>
      </c>
      <c r="O1626" t="str">
        <f>"Carrozzeria Biasion S.N.C. Via Bassa 45 35020 Arzergrande PD"</f>
        <v>Carrozzeria Biasion S.N.C. Via Bassa 45 35020 Arzergrande PD</v>
      </c>
      <c r="P1626" t="str">
        <f>"Z2432D8C21: [450.00€ ]"</f>
        <v>Z2432D8C21: [450.00€ ]</v>
      </c>
      <c r="Q1626" t="str">
        <f>""</f>
        <v/>
      </c>
      <c r="R1626" t="str">
        <f>""</f>
        <v/>
      </c>
      <c r="S1626" t="str">
        <f>""</f>
        <v/>
      </c>
      <c r="T1626" t="str">
        <f>"https://portaletrasparenza.consorziobacchiglione.it/dettagli/attodigara/7088/manutenzione-e-riparazione-mezzo-con-targa-aj206bm.html"</f>
        <v>https://portaletrasparenza.consorziobacchiglione.it/dettagli/attodigara/7088/manutenzione-e-riparazione-mezzo-con-targa-aj206bm.html</v>
      </c>
      <c r="U1626" t="str">
        <f>"https://portaletrasparenza.consorziobacchiglione.it/download/attodigara/7088/63ac45ba139b8.PDF"</f>
        <v>https://portaletrasparenza.consorziobacchiglione.it/download/attodigara/7088/63ac45ba139b8.PDF</v>
      </c>
      <c r="V16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27" spans="1:22" x14ac:dyDescent="0.3">
      <c r="A1627" t="str">
        <f>"Affidamento"</f>
        <v>Affidamento</v>
      </c>
      <c r="B1627" t="str">
        <f>"Sostituzione parafango anteriore su mezzo targato: AJ205BM"</f>
        <v>Sostituzione parafango anteriore su mezzo targato: AJ205BM</v>
      </c>
      <c r="C1627" t="str">
        <f>"Z4532D7C83"</f>
        <v>Z4532D7C83</v>
      </c>
      <c r="D1627" t="str">
        <f>"27/08/2021"</f>
        <v>27/08/2021</v>
      </c>
      <c r="E1627" t="str">
        <f>""</f>
        <v/>
      </c>
      <c r="F1627" t="str">
        <f>""</f>
        <v/>
      </c>
      <c r="G1627" t="str">
        <f>"463.08"</f>
        <v>463.08</v>
      </c>
      <c r="H1627" t="str">
        <f>"Consorzio di bonifica Bacchiglione"</f>
        <v>Consorzio di bonifica Bacchiglione</v>
      </c>
      <c r="I1627" t="str">
        <f>"92223390284"</f>
        <v>92223390284</v>
      </c>
      <c r="J1627" t="str">
        <f>"23-AFFIDAMENTO DIRETTO"</f>
        <v>23-AFFIDAMENTO DIRETTO</v>
      </c>
      <c r="K1627" t="str">
        <f>"26/08/2021"</f>
        <v>26/08/2021</v>
      </c>
      <c r="L1627" t="str">
        <f>"08/09/2021"</f>
        <v>08/09/2021</v>
      </c>
      <c r="M1627" t="str">
        <f>""</f>
        <v/>
      </c>
      <c r="N1627" t="str">
        <f>"Carrozzeria Biasion S.N.C. Via Bassa 45 35020 Arzergrande PD"</f>
        <v>Carrozzeria Biasion S.N.C. Via Bassa 45 35020 Arzergrande PD</v>
      </c>
      <c r="O1627" t="str">
        <f>"Carrozzeria Biasion S.N.C. Via Bassa 45 35020 Arzergrande PD"</f>
        <v>Carrozzeria Biasion S.N.C. Via Bassa 45 35020 Arzergrande PD</v>
      </c>
      <c r="P1627" t="str">
        <f>"Z4532D7C83: [463.08€ ]"</f>
        <v>Z4532D7C83: [463.08€ ]</v>
      </c>
      <c r="Q1627" t="str">
        <f>""</f>
        <v/>
      </c>
      <c r="R1627" t="str">
        <f>""</f>
        <v/>
      </c>
      <c r="S1627" t="str">
        <f>""</f>
        <v/>
      </c>
      <c r="T1627" t="str">
        <f>"https://portaletrasparenza.consorziobacchiglione.it/dettagli/attodigara/7087/sostituzione-parafango-anteriore-su-mezzo-targato-aj205bm.html"</f>
        <v>https://portaletrasparenza.consorziobacchiglione.it/dettagli/attodigara/7087/sostituzione-parafango-anteriore-su-mezzo-targato-aj205bm.html</v>
      </c>
      <c r="U1627" t="str">
        <f>"https://portaletrasparenza.consorziobacchiglione.it/download/attodigara/7087/63ac45b9cee13.PDF"</f>
        <v>https://portaletrasparenza.consorziobacchiglione.it/download/attodigara/7087/63ac45b9cee13.PDF</v>
      </c>
      <c r="V162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28" spans="1:22" x14ac:dyDescent="0.3">
      <c r="A1628" t="str">
        <f>"Affidamento"</f>
        <v>Affidamento</v>
      </c>
      <c r="B1628" t="str">
        <f>"Noleggio vibroinfissore piantapalo Furukawa per lavori scolo Rialto."</f>
        <v>Noleggio vibroinfissore piantapalo Furukawa per lavori scolo Rialto.</v>
      </c>
      <c r="C1628" t="str">
        <f>"ZBF1B5224C"</f>
        <v>ZBF1B5224C</v>
      </c>
      <c r="D1628" t="str">
        <f>"04/11/2021"</f>
        <v>04/11/2021</v>
      </c>
      <c r="E1628" t="str">
        <f>""</f>
        <v/>
      </c>
      <c r="F1628" t="str">
        <f>""</f>
        <v/>
      </c>
      <c r="G1628" t="str">
        <f>"800.00"</f>
        <v>800.00</v>
      </c>
      <c r="H1628" t="str">
        <f>"Consorzio di bonifica Bacchiglione"</f>
        <v>Consorzio di bonifica Bacchiglione</v>
      </c>
      <c r="I1628" t="str">
        <f>"92223390284"</f>
        <v>92223390284</v>
      </c>
      <c r="J1628" t="str">
        <f>"23-AFFIDAMENTO DIRETTO"</f>
        <v>23-AFFIDAMENTO DIRETTO</v>
      </c>
      <c r="K1628" t="str">
        <f>"26/09/2021"</f>
        <v>26/09/2021</v>
      </c>
      <c r="L1628" t="str">
        <f>"15/11/2021"</f>
        <v>15/11/2021</v>
      </c>
      <c r="M1628" t="str">
        <f>""</f>
        <v/>
      </c>
      <c r="N1628" t="str">
        <f>"Sorme s.n.c. Via Monache 21 35030 Selvazzano Dentro PD"</f>
        <v>Sorme s.n.c. Via Monache 21 35030 Selvazzano Dentro PD</v>
      </c>
      <c r="O1628" t="str">
        <f>"Sorme s.n.c. Via Monache 21 35030 Selvazzano Dentro PD"</f>
        <v>Sorme s.n.c. Via Monache 21 35030 Selvazzano Dentro PD</v>
      </c>
      <c r="P1628" t="str">
        <f>"ZBF1B5224C: [800.00€ ]"</f>
        <v>ZBF1B5224C: [800.00€ ]</v>
      </c>
      <c r="Q1628" t="str">
        <f>""</f>
        <v/>
      </c>
      <c r="R1628" t="str">
        <f>""</f>
        <v/>
      </c>
      <c r="S1628" t="str">
        <f>""</f>
        <v/>
      </c>
      <c r="T1628" t="str">
        <f>"https://portaletrasparenza.consorziobacchiglione.it/dettagli/attodigara/768/noleggio-vibroinfissore-piantapalo-furukawa-per-lavori-scolo-rialto.html"</f>
        <v>https://portaletrasparenza.consorziobacchiglione.it/dettagli/attodigara/768/noleggio-vibroinfissore-piantapalo-furukawa-per-lavori-scolo-rialto.html</v>
      </c>
      <c r="U1628" t="str">
        <f>""</f>
        <v/>
      </c>
      <c r="V16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29" spans="1:22" x14ac:dyDescent="0.3">
      <c r="A1629" t="str">
        <f>"Affidamento"</f>
        <v>Affidamento</v>
      </c>
      <c r="B1629" t="str">
        <f>"Fornitura ringhiera per terrazzo su locali ricondizionati presso sede Consorziale."</f>
        <v>Fornitura ringhiera per terrazzo su locali ricondizionati presso sede Consorziale.</v>
      </c>
      <c r="C1629" t="str">
        <f>"Z631B51D1C"</f>
        <v>Z631B51D1C</v>
      </c>
      <c r="D1629" t="str">
        <f>"04/11/2021"</f>
        <v>04/11/2021</v>
      </c>
      <c r="E1629" t="str">
        <f>""</f>
        <v/>
      </c>
      <c r="F1629" t="str">
        <f>""</f>
        <v/>
      </c>
      <c r="G1629" t="str">
        <f>"950.00"</f>
        <v>950.00</v>
      </c>
      <c r="H1629" t="str">
        <f>"Consorzio di bonifica Bacchiglione"</f>
        <v>Consorzio di bonifica Bacchiglione</v>
      </c>
      <c r="I1629" t="str">
        <f>"92223390284"</f>
        <v>92223390284</v>
      </c>
      <c r="J1629" t="str">
        <f>"23-AFFIDAMENTO DIRETTO"</f>
        <v>23-AFFIDAMENTO DIRETTO</v>
      </c>
      <c r="K1629" t="str">
        <f>"26/09/2021"</f>
        <v>26/09/2021</v>
      </c>
      <c r="L1629" t="str">
        <f>"28/12/2021"</f>
        <v>28/12/2021</v>
      </c>
      <c r="M1629" t="str">
        <f>""</f>
        <v/>
      </c>
      <c r="N1629" t="str">
        <f>"Convento Claudio Via III^ Strada 3 Z.A. 30010 Campolongo Maggiore VE"</f>
        <v>Convento Claudio Via III^ Strada 3 Z.A. 30010 Campolongo Maggiore VE</v>
      </c>
      <c r="O1629" t="str">
        <f>"Convento Claudio Via III^ Strada 3 Z.A. 30010 Campolongo Maggiore VE"</f>
        <v>Convento Claudio Via III^ Strada 3 Z.A. 30010 Campolongo Maggiore VE</v>
      </c>
      <c r="P1629" t="str">
        <f>"Z631B51D1C: [950.00€ ]"</f>
        <v>Z631B51D1C: [950.00€ ]</v>
      </c>
      <c r="Q1629" t="str">
        <f>""</f>
        <v/>
      </c>
      <c r="R1629" t="str">
        <f>""</f>
        <v/>
      </c>
      <c r="S1629" t="str">
        <f>""</f>
        <v/>
      </c>
      <c r="T1629" t="str">
        <f>"https://portaletrasparenza.consorziobacchiglione.it/dettagli/attodigara/767/fornitura-ringhiera-per-terrazzo-su-locali-ricondizionati-presso-sede-consorziale.html"</f>
        <v>https://portaletrasparenza.consorziobacchiglione.it/dettagli/attodigara/767/fornitura-ringhiera-per-terrazzo-su-locali-ricondizionati-presso-sede-consorziale.html</v>
      </c>
      <c r="U1629" t="str">
        <f>""</f>
        <v/>
      </c>
      <c r="V16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30" spans="1:22" x14ac:dyDescent="0.3">
      <c r="A1630" t="str">
        <f>"Affidamento"</f>
        <v>Affidamento</v>
      </c>
      <c r="B1630" t="str">
        <f>"Ispezione di rilievo dimensionale dello stato di fatto della Botte a sifone di Lova."</f>
        <v>Ispezione di rilievo dimensionale dello stato di fatto della Botte a sifone di Lova.</v>
      </c>
      <c r="C1630" t="str">
        <f>"ZD21BC29AD"</f>
        <v>ZD21BC29AD</v>
      </c>
      <c r="D1630" t="str">
        <f>"04/11/2021"</f>
        <v>04/11/2021</v>
      </c>
      <c r="E1630" t="str">
        <f>""</f>
        <v/>
      </c>
      <c r="F1630" t="str">
        <f>""</f>
        <v/>
      </c>
      <c r="G1630" t="str">
        <f>"3600.00"</f>
        <v>3600.00</v>
      </c>
      <c r="H1630" t="str">
        <f>"Consorzio di bonifica Bacchiglione"</f>
        <v>Consorzio di bonifica Bacchiglione</v>
      </c>
      <c r="I1630" t="str">
        <f>"92223390284"</f>
        <v>92223390284</v>
      </c>
      <c r="J1630" t="str">
        <f>"23-AFFIDAMENTO DIRETTO"</f>
        <v>23-AFFIDAMENTO DIRETTO</v>
      </c>
      <c r="K1630" t="str">
        <f>"26/10/2021"</f>
        <v>26/10/2021</v>
      </c>
      <c r="L1630" t="str">
        <f>"30/11/2021"</f>
        <v>30/11/2021</v>
      </c>
      <c r="M1630" t="str">
        <f>""</f>
        <v/>
      </c>
      <c r="N1630" t="str">
        <f>"IDRA s.r.l. lavori subacquei-archeologia E ambiente Dorsoduro 2514 30123 Venezia"</f>
        <v>IDRA s.r.l. lavori subacquei-archeologia E ambiente Dorsoduro 2514 30123 Venezia</v>
      </c>
      <c r="O1630" t="str">
        <f>"IDRA s.r.l. lavori subacquei-archeologia E ambiente Dorsoduro 2514 30123 Venezia"</f>
        <v>IDRA s.r.l. lavori subacquei-archeologia E ambiente Dorsoduro 2514 30123 Venezia</v>
      </c>
      <c r="P1630" t="str">
        <f>"ZD21BC29AD: [3600.00€ ]"</f>
        <v>ZD21BC29AD: [3600.00€ ]</v>
      </c>
      <c r="Q1630" t="str">
        <f>""</f>
        <v/>
      </c>
      <c r="R1630" t="str">
        <f>""</f>
        <v/>
      </c>
      <c r="S1630" t="str">
        <f>""</f>
        <v/>
      </c>
      <c r="T1630" t="str">
        <f>"https://portaletrasparenza.consorziobacchiglione.it/dettagli/attodigara/860/ispezione-di-rilievo-dimensionale-dello-stato-di-fatto-della-botte-a-sifone-di-lova.html"</f>
        <v>https://portaletrasparenza.consorziobacchiglione.it/dettagli/attodigara/860/ispezione-di-rilievo-dimensionale-dello-stato-di-fatto-della-botte-a-sifone-di-lova.html</v>
      </c>
      <c r="U1630" t="str">
        <f>""</f>
        <v/>
      </c>
      <c r="V16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31" spans="1:22" x14ac:dyDescent="0.3">
      <c r="A1631" t="str">
        <f>"Affidamento"</f>
        <v>Affidamento</v>
      </c>
      <c r="B1631" t="str">
        <f>"Riparazione e modifica condotta principale della tubazione di aspirazione sifone Galta."</f>
        <v>Riparazione e modifica condotta principale della tubazione di aspirazione sifone Galta.</v>
      </c>
      <c r="C1631" t="str">
        <f>"Z5F1BC2527"</f>
        <v>Z5F1BC2527</v>
      </c>
      <c r="D1631" t="str">
        <f>"04/11/2021"</f>
        <v>04/11/2021</v>
      </c>
      <c r="E1631" t="str">
        <f>""</f>
        <v/>
      </c>
      <c r="F1631" t="str">
        <f>""</f>
        <v/>
      </c>
      <c r="G1631" t="str">
        <f>"388.00"</f>
        <v>388.00</v>
      </c>
      <c r="H1631" t="str">
        <f>"Consorzio di bonifica Bacchiglione"</f>
        <v>Consorzio di bonifica Bacchiglione</v>
      </c>
      <c r="I1631" t="str">
        <f>"92223390284"</f>
        <v>92223390284</v>
      </c>
      <c r="J1631" t="str">
        <f>"23-AFFIDAMENTO DIRETTO"</f>
        <v>23-AFFIDAMENTO DIRETTO</v>
      </c>
      <c r="K1631" t="str">
        <f>"26/10/2021"</f>
        <v>26/10/2021</v>
      </c>
      <c r="L1631" t="str">
        <f>"05/01/2021"</f>
        <v>05/01/2021</v>
      </c>
      <c r="M1631" t="str">
        <f>""</f>
        <v/>
      </c>
      <c r="N1631" t="str">
        <f>"Officina Biesse S.n.c. Via Matteotti 24 35020 Arzergrande PD"</f>
        <v>Officina Biesse S.n.c. Via Matteotti 24 35020 Arzergrande PD</v>
      </c>
      <c r="O1631" t="str">
        <f>"Officina Biesse S.n.c. Via Matteotti 24 35020 Arzergrande PD"</f>
        <v>Officina Biesse S.n.c. Via Matteotti 24 35020 Arzergrande PD</v>
      </c>
      <c r="P1631" t="str">
        <f>"Z5F1BC2527: [388.00€ ]"</f>
        <v>Z5F1BC2527: [388.00€ ]</v>
      </c>
      <c r="Q1631" t="str">
        <f>""</f>
        <v/>
      </c>
      <c r="R1631" t="str">
        <f>""</f>
        <v/>
      </c>
      <c r="S1631" t="str">
        <f>""</f>
        <v/>
      </c>
      <c r="T1631" t="str">
        <f>"https://portaletrasparenza.consorziobacchiglione.it/dettagli/attodigara/859/riparazione-e-modifica-condotta-principale-della-tubazione-di-aspirazione-sifone-galta.html"</f>
        <v>https://portaletrasparenza.consorziobacchiglione.it/dettagli/attodigara/859/riparazione-e-modifica-condotta-principale-della-tubazione-di-aspirazione-sifone-galta.html</v>
      </c>
      <c r="U1631" t="str">
        <f>""</f>
        <v/>
      </c>
      <c r="V16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32" spans="1:22" x14ac:dyDescent="0.3">
      <c r="A1632" t="str">
        <f>"Affidamento"</f>
        <v>Affidamento</v>
      </c>
      <c r="B1632" t="str">
        <f>"Riparazione e manutenzione mezzi con targa: PDAH662, PDAF496, PDAF480."</f>
        <v>Riparazione e manutenzione mezzi con targa: PDAH662, PDAF496, PDAF480.</v>
      </c>
      <c r="C1632" t="str">
        <f>"ZA91BC2387"</f>
        <v>ZA91BC2387</v>
      </c>
      <c r="D1632" t="str">
        <f>"04/11/2021"</f>
        <v>04/11/2021</v>
      </c>
      <c r="E1632" t="str">
        <f>""</f>
        <v/>
      </c>
      <c r="F1632" t="str">
        <f>""</f>
        <v/>
      </c>
      <c r="G1632" t="str">
        <f>"3044.55"</f>
        <v>3044.55</v>
      </c>
      <c r="H1632" t="str">
        <f>"Consorzio di bonifica Bacchiglione"</f>
        <v>Consorzio di bonifica Bacchiglione</v>
      </c>
      <c r="I1632" t="str">
        <f>"92223390284"</f>
        <v>92223390284</v>
      </c>
      <c r="J1632" t="str">
        <f>"23-AFFIDAMENTO DIRETTO"</f>
        <v>23-AFFIDAMENTO DIRETTO</v>
      </c>
      <c r="K1632" t="str">
        <f>"26/10/2021"</f>
        <v>26/10/2021</v>
      </c>
      <c r="L1632" t="str">
        <f>"05/01/2021"</f>
        <v>05/01/2021</v>
      </c>
      <c r="M1632" t="str">
        <f>""</f>
        <v/>
      </c>
      <c r="N1632" t="str">
        <f>"Officina Biesse S.n.c. Via Matteotti 24 35020 Arzergrande PD"</f>
        <v>Officina Biesse S.n.c. Via Matteotti 24 35020 Arzergrande PD</v>
      </c>
      <c r="O1632" t="str">
        <f>"Officina Biesse S.n.c. Via Matteotti 24 35020 Arzergrande PD"</f>
        <v>Officina Biesse S.n.c. Via Matteotti 24 35020 Arzergrande PD</v>
      </c>
      <c r="P1632" t="str">
        <f>"ZA91BC2387: [3044.55€ ]"</f>
        <v>ZA91BC2387: [3044.55€ ]</v>
      </c>
      <c r="Q1632" t="str">
        <f>""</f>
        <v/>
      </c>
      <c r="R1632" t="str">
        <f>""</f>
        <v/>
      </c>
      <c r="S1632" t="str">
        <f>""</f>
        <v/>
      </c>
      <c r="T1632" t="str">
        <f>"https://portaletrasparenza.consorziobacchiglione.it/dettagli/attodigara/858/riparazione-e-manutenzione-mezzi-con-targa-pdah662-pdaf496-pdaf480.html"</f>
        <v>https://portaletrasparenza.consorziobacchiglione.it/dettagli/attodigara/858/riparazione-e-manutenzione-mezzi-con-targa-pdah662-pdaf496-pdaf480.html</v>
      </c>
      <c r="U1632" t="str">
        <f>""</f>
        <v/>
      </c>
      <c r="V16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33" spans="1:22" x14ac:dyDescent="0.3">
      <c r="A1633" t="str">
        <f>"Affidamento"</f>
        <v>Affidamento</v>
      </c>
      <c r="B1633" t="str">
        <f>"Riparazione e manutenzione mezzi con targa: EW924ED, DA203YW."</f>
        <v>Riparazione e manutenzione mezzi con targa: EW924ED, DA203YW.</v>
      </c>
      <c r="C1633" t="str">
        <f>"ZC01BC21E2"</f>
        <v>ZC01BC21E2</v>
      </c>
      <c r="D1633" t="str">
        <f>"04/11/2021"</f>
        <v>04/11/2021</v>
      </c>
      <c r="E1633" t="str">
        <f>""</f>
        <v/>
      </c>
      <c r="F1633" t="str">
        <f>""</f>
        <v/>
      </c>
      <c r="G1633" t="str">
        <f>"352.00"</f>
        <v>352.00</v>
      </c>
      <c r="H1633" t="str">
        <f>"Consorzio di bonifica Bacchiglione"</f>
        <v>Consorzio di bonifica Bacchiglione</v>
      </c>
      <c r="I1633" t="str">
        <f>"92223390284"</f>
        <v>92223390284</v>
      </c>
      <c r="J1633" t="str">
        <f>"23-AFFIDAMENTO DIRETTO"</f>
        <v>23-AFFIDAMENTO DIRETTO</v>
      </c>
      <c r="K1633" t="str">
        <f>"26/10/2021"</f>
        <v>26/10/2021</v>
      </c>
      <c r="L1633" t="str">
        <f>"03/08/2021"</f>
        <v>03/08/2021</v>
      </c>
      <c r="M1633" t="str">
        <f>""</f>
        <v/>
      </c>
      <c r="N1633" t="str">
        <f>"Vise Elettrocar Via Montagnon 61 35028 Tognana di Piove di Sacco PD"</f>
        <v>Vise Elettrocar Via Montagnon 61 35028 Tognana di Piove di Sacco PD</v>
      </c>
      <c r="O1633" t="str">
        <f>"Vise Elettrocar Via Montagnon 61 35028 Tognana di Piove di Sacco PD"</f>
        <v>Vise Elettrocar Via Montagnon 61 35028 Tognana di Piove di Sacco PD</v>
      </c>
      <c r="P1633" t="str">
        <f>"ZC01BC21E2: [352.00€ ]"</f>
        <v>ZC01BC21E2: [352.00€ ]</v>
      </c>
      <c r="Q1633" t="str">
        <f>""</f>
        <v/>
      </c>
      <c r="R1633" t="str">
        <f>""</f>
        <v/>
      </c>
      <c r="S1633" t="str">
        <f>""</f>
        <v/>
      </c>
      <c r="T1633" t="str">
        <f>"https://portaletrasparenza.consorziobacchiglione.it/dettagli/attodigara/857/riparazione-e-manutenzione-mezzi-con-targa-ew924ed-da203yw.html"</f>
        <v>https://portaletrasparenza.consorziobacchiglione.it/dettagli/attodigara/857/riparazione-e-manutenzione-mezzi-con-targa-ew924ed-da203yw.html</v>
      </c>
      <c r="U1633" t="str">
        <f>""</f>
        <v/>
      </c>
      <c r="V16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34" spans="1:22" x14ac:dyDescent="0.3">
      <c r="A1634" t="str">
        <f>"Affidamento"</f>
        <v>Affidamento</v>
      </c>
      <c r="B1634" t="str">
        <f>"Manutenzione n 2 generatori di calore C.O.S.Margherita."</f>
        <v>Manutenzione n 2 generatori di calore C.O.S.Margherita.</v>
      </c>
      <c r="C1634" t="str">
        <f>"Z9D1BC204B"</f>
        <v>Z9D1BC204B</v>
      </c>
      <c r="D1634" t="str">
        <f>"04/11/2021"</f>
        <v>04/11/2021</v>
      </c>
      <c r="E1634" t="str">
        <f>""</f>
        <v/>
      </c>
      <c r="F1634" t="str">
        <f>""</f>
        <v/>
      </c>
      <c r="G1634" t="str">
        <f>"360.00"</f>
        <v>360.00</v>
      </c>
      <c r="H1634" t="str">
        <f>"Consorzio di bonifica Bacchiglione"</f>
        <v>Consorzio di bonifica Bacchiglione</v>
      </c>
      <c r="I1634" t="str">
        <f>"92223390284"</f>
        <v>92223390284</v>
      </c>
      <c r="J1634" t="str">
        <f>"23-AFFIDAMENTO DIRETTO"</f>
        <v>23-AFFIDAMENTO DIRETTO</v>
      </c>
      <c r="K1634" t="str">
        <f>"26/10/2021"</f>
        <v>26/10/2021</v>
      </c>
      <c r="L1634" t="str">
        <f>"28/11/2021"</f>
        <v>28/11/2021</v>
      </c>
      <c r="M1634" t="str">
        <f>""</f>
        <v/>
      </c>
      <c r="N1634" t="str">
        <f>"Giraldo Impianti SNC di Giraldo Danilo e Silvio Via Flli Cervi 1-II 30010 Campolongo Maggiore VE"</f>
        <v>Giraldo Impianti SNC di Giraldo Danilo e Silvio Via Flli Cervi 1-II 30010 Campolongo Maggiore VE</v>
      </c>
      <c r="O1634" t="str">
        <f>"Giraldo Impianti SNC di Giraldo Danilo e Silvio Via Flli Cervi 1-II 30010 Campolongo Maggiore VE"</f>
        <v>Giraldo Impianti SNC di Giraldo Danilo e Silvio Via Flli Cervi 1-II 30010 Campolongo Maggiore VE</v>
      </c>
      <c r="P1634" t="str">
        <f>"Z9D1BC204B: [360.00€ ]"</f>
        <v>Z9D1BC204B: [360.00€ ]</v>
      </c>
      <c r="Q1634" t="str">
        <f>""</f>
        <v/>
      </c>
      <c r="R1634" t="str">
        <f>""</f>
        <v/>
      </c>
      <c r="S1634" t="str">
        <f>""</f>
        <v/>
      </c>
      <c r="T1634" t="str">
        <f>"https://portaletrasparenza.consorziobacchiglione.it/dettagli/attodigara/856/manutenzione-n-2-generatori-di-calore-c-o-s-margherita.html"</f>
        <v>https://portaletrasparenza.consorziobacchiglione.it/dettagli/attodigara/856/manutenzione-n-2-generatori-di-calore-c-o-s-margherita.html</v>
      </c>
      <c r="U1634" t="str">
        <f>""</f>
        <v/>
      </c>
      <c r="V16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35" spans="1:22" x14ac:dyDescent="0.3">
      <c r="A1635" t="str">
        <f>"Affidamento"</f>
        <v>Affidamento</v>
      </c>
      <c r="B1635" t="str">
        <f>"Riparazione Elettrovalvola di disadescamento modello: ED100V.400 presso Idrovora Isola di Bovolenta"</f>
        <v>Riparazione Elettrovalvola di disadescamento modello: ED100V.400 presso Idrovora Isola di Bovolenta</v>
      </c>
      <c r="C1635" t="str">
        <f>"ZB333A0EA5"</f>
        <v>ZB333A0EA5</v>
      </c>
      <c r="D1635" t="str">
        <f>"02/11/2021"</f>
        <v>02/11/2021</v>
      </c>
      <c r="E1635" t="str">
        <f>""</f>
        <v/>
      </c>
      <c r="F1635" t="str">
        <f>""</f>
        <v/>
      </c>
      <c r="G1635" t="str">
        <f>"2348.00"</f>
        <v>2348.00</v>
      </c>
      <c r="H1635" t="str">
        <f>"Consorzio di bonifica Bacchiglione"</f>
        <v>Consorzio di bonifica Bacchiglione</v>
      </c>
      <c r="I1635" t="str">
        <f>"92223390284"</f>
        <v>92223390284</v>
      </c>
      <c r="J1635" t="str">
        <f>"23-AFFIDAMENTO DIRETTO"</f>
        <v>23-AFFIDAMENTO DIRETTO</v>
      </c>
      <c r="K1635" t="str">
        <f>"26/10/2021"</f>
        <v>26/10/2021</v>
      </c>
      <c r="L1635" t="str">
        <f>"30/11/2021"</f>
        <v>30/11/2021</v>
      </c>
      <c r="M1635" t="str">
        <f>""</f>
        <v/>
      </c>
      <c r="N1635" t="str">
        <f>"Scarpa Sergio Elettromeccanica S.n.c. di Scarpa Paola E C. Via A. Vivaldi 7 35028 Piove di Sacco PD"</f>
        <v>Scarpa Sergio Elettromeccanica S.n.c. di Scarpa Paola E C. Via A. Vivaldi 7 35028 Piove di Sacco PD</v>
      </c>
      <c r="O1635" t="str">
        <f>"Scarpa Sergio Elettromeccanica S.n.c. di Scarpa Paola E C. Via A. Vivaldi 7 35028 Piove di Sacco PD"</f>
        <v>Scarpa Sergio Elettromeccanica S.n.c. di Scarpa Paola E C. Via A. Vivaldi 7 35028 Piove di Sacco PD</v>
      </c>
      <c r="P1635" t="str">
        <f>"ZB333A0EA5: [2348.00€ ]"</f>
        <v>ZB333A0EA5: [2348.00€ ]</v>
      </c>
      <c r="Q1635" t="str">
        <f>""</f>
        <v/>
      </c>
      <c r="R1635" t="str">
        <f>""</f>
        <v/>
      </c>
      <c r="S1635" t="str">
        <f>""</f>
        <v/>
      </c>
      <c r="T1635" t="str">
        <f>"https://portaletrasparenza.consorziobacchiglione.it/dettagli/attodigara/7241/riparazione-elettrovalvola-di-disadescamento-modello-ed100v-400-presso-idrovora-isola-di-bovolenta.html"</f>
        <v>https://portaletrasparenza.consorziobacchiglione.it/dettagli/attodigara/7241/riparazione-elettrovalvola-di-disadescamento-modello-ed100v-400-presso-idrovora-isola-di-bovolenta.html</v>
      </c>
      <c r="U1635" t="str">
        <f>"https://portaletrasparenza.consorziobacchiglione.it/download/attodigara/7241/63ac45e1a36b8.PDF"</f>
        <v>https://portaletrasparenza.consorziobacchiglione.it/download/attodigara/7241/63ac45e1a36b8.PDF</v>
      </c>
      <c r="V163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36" spans="1:22" x14ac:dyDescent="0.3">
      <c r="A1636" t="str">
        <f>"Affidamento"</f>
        <v>Affidamento</v>
      </c>
      <c r="B1636" t="str">
        <f>"Fornitura materiale vario per l'anno 2021 - Bacino Sesta Presa"</f>
        <v>Fornitura materiale vario per l'anno 2021 - Bacino Sesta Presa</v>
      </c>
      <c r="C1636" t="str">
        <f>"Z1933A0C5B"</f>
        <v>Z1933A0C5B</v>
      </c>
      <c r="D1636" t="str">
        <f>"26/10/2021"</f>
        <v>26/10/2021</v>
      </c>
      <c r="E1636" t="str">
        <f>""</f>
        <v/>
      </c>
      <c r="F1636" t="str">
        <f>""</f>
        <v/>
      </c>
      <c r="G1636" t="str">
        <f>"5000.00"</f>
        <v>5000.00</v>
      </c>
      <c r="H1636" t="str">
        <f>"Consorzio di bonifica Bacchiglione"</f>
        <v>Consorzio di bonifica Bacchiglione</v>
      </c>
      <c r="I1636" t="str">
        <f>"92223390284"</f>
        <v>92223390284</v>
      </c>
      <c r="J1636" t="str">
        <f>"23-AFFIDAMENTO DIRETTO"</f>
        <v>23-AFFIDAMENTO DIRETTO</v>
      </c>
      <c r="K1636" t="str">
        <f>"26/10/2021"</f>
        <v>26/10/2021</v>
      </c>
      <c r="L1636" t="str">
        <f>"09/11/2023"</f>
        <v>09/11/2023</v>
      </c>
      <c r="M1636" t="str">
        <f>""</f>
        <v/>
      </c>
      <c r="N1636" t="str">
        <f>"Ferramenta Nautica Gollo Matteo Via S.S Romea 6 35020 Conche PD"</f>
        <v>Ferramenta Nautica Gollo Matteo Via S.S Romea 6 35020 Conche PD</v>
      </c>
      <c r="O1636" t="str">
        <f>"Ferramenta Nautica Gollo Matteo Via S.S Romea 6 35020 Conche PD"</f>
        <v>Ferramenta Nautica Gollo Matteo Via S.S Romea 6 35020 Conche PD</v>
      </c>
      <c r="P1636" t="s">
        <v>232</v>
      </c>
      <c r="Q1636" t="str">
        <f>""</f>
        <v/>
      </c>
      <c r="R1636" t="str">
        <f>""</f>
        <v/>
      </c>
      <c r="S1636" t="str">
        <f>""</f>
        <v/>
      </c>
      <c r="T1636" t="str">
        <f>"https://portaletrasparenza.consorziobacchiglione.it/dettagli/attodigara/7240/fornitura-materiale-vario-per-l-anno-2021-bacino-sesta-presa.html"</f>
        <v>https://portaletrasparenza.consorziobacchiglione.it/dettagli/attodigara/7240/fornitura-materiale-vario-per-l-anno-2021-bacino-sesta-presa.html</v>
      </c>
      <c r="U1636" t="str">
        <f>"https://portaletrasparenza.consorziobacchiglione.it/download/attodigara/7240/63ac45e1310ce.PDF"</f>
        <v>https://portaletrasparenza.consorziobacchiglione.it/download/attodigara/7240/63ac45e1310ce.PDF</v>
      </c>
      <c r="V16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37" spans="1:22" x14ac:dyDescent="0.3">
      <c r="A1637" t="str">
        <f>"Affidamento"</f>
        <v>Affidamento</v>
      </c>
      <c r="B1637" t="str">
        <f>"Controllo semestrale gru con rilascio scheda, smontaggio stabilizzatore ant./post. DX del mezzo targato: DA564ZE"</f>
        <v>Controllo semestrale gru con rilascio scheda, smontaggio stabilizzatore ant./post. DX del mezzo targato: DA564ZE</v>
      </c>
      <c r="C1637" t="str">
        <f>"Z0333A1BFF"</f>
        <v>Z0333A1BFF</v>
      </c>
      <c r="D1637" t="str">
        <f>"26/10/2021"</f>
        <v>26/10/2021</v>
      </c>
      <c r="E1637" t="str">
        <f>""</f>
        <v/>
      </c>
      <c r="F1637" t="str">
        <f>""</f>
        <v/>
      </c>
      <c r="G1637" t="str">
        <f>"1260.20"</f>
        <v>1260.20</v>
      </c>
      <c r="H1637" t="str">
        <f>"Consorzio di bonifica Bacchiglione"</f>
        <v>Consorzio di bonifica Bacchiglione</v>
      </c>
      <c r="I1637" t="str">
        <f>"92223390284"</f>
        <v>92223390284</v>
      </c>
      <c r="J1637" t="str">
        <f>"23-AFFIDAMENTO DIRETTO"</f>
        <v>23-AFFIDAMENTO DIRETTO</v>
      </c>
      <c r="K1637" t="str">
        <f>"26/10/2021"</f>
        <v>26/10/2021</v>
      </c>
      <c r="L1637" t="str">
        <f>"02/11/2021"</f>
        <v>02/11/2021</v>
      </c>
      <c r="M1637" t="str">
        <f>""</f>
        <v/>
      </c>
      <c r="N1637" t="str">
        <f>"Moressa s.r.l. Via Cuccara 2 35020 Due Carrare PD"</f>
        <v>Moressa s.r.l. Via Cuccara 2 35020 Due Carrare PD</v>
      </c>
      <c r="O1637" t="str">
        <f>"Moressa s.r.l. Via Cuccara 2 35020 Due Carrare PD"</f>
        <v>Moressa s.r.l. Via Cuccara 2 35020 Due Carrare PD</v>
      </c>
      <c r="P1637" t="str">
        <f>"Z0333A1BFF: [1260.20€ ]"</f>
        <v>Z0333A1BFF: [1260.20€ ]</v>
      </c>
      <c r="Q1637" t="str">
        <f>""</f>
        <v/>
      </c>
      <c r="R1637" t="str">
        <f>""</f>
        <v/>
      </c>
      <c r="S1637" t="str">
        <f>""</f>
        <v/>
      </c>
      <c r="T1637" t="str">
        <f>"https://portaletrasparenza.consorziobacchiglione.it/dettagli/attodigara/7242/controllo-semestrale-gru-con-rilascio-scheda-smontaggio-stabilizzatore-ant-post-dx-del-mezzo-targato-da564ze.html"</f>
        <v>https://portaletrasparenza.consorziobacchiglione.it/dettagli/attodigara/7242/controllo-semestrale-gru-con-rilascio-scheda-smontaggio-stabilizzatore-ant-post-dx-del-mezzo-targato-da564ze.html</v>
      </c>
      <c r="U1637" t="str">
        <f>"https://portaletrasparenza.consorziobacchiglione.it/download/attodigara/7242/63ac45e169d69.PDF"</f>
        <v>https://portaletrasparenza.consorziobacchiglione.it/download/attodigara/7242/63ac45e169d69.PDF</v>
      </c>
      <c r="V163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38" spans="1:22" x14ac:dyDescent="0.3">
      <c r="A1638" t="str">
        <f>"Affidamento"</f>
        <v>Affidamento</v>
      </c>
      <c r="B1638" t="str">
        <f>"Servizio camion e gru per il sollevamento e riposizionamento pompe presso Idrovora Trezze e Idrovia Terminale"</f>
        <v>Servizio camion e gru per il sollevamento e riposizionamento pompe presso Idrovora Trezze e Idrovia Terminale</v>
      </c>
      <c r="C1638" t="str">
        <f>"ZDE33A0A8C"</f>
        <v>ZDE33A0A8C</v>
      </c>
      <c r="D1638" t="str">
        <f>"26/10/2021"</f>
        <v>26/10/2021</v>
      </c>
      <c r="E1638" t="str">
        <f>""</f>
        <v/>
      </c>
      <c r="F1638" t="str">
        <f>""</f>
        <v/>
      </c>
      <c r="G1638" t="str">
        <f>"3600.00"</f>
        <v>3600.00</v>
      </c>
      <c r="H1638" t="str">
        <f>"Consorzio di bonifica Bacchiglione"</f>
        <v>Consorzio di bonifica Bacchiglione</v>
      </c>
      <c r="I1638" t="str">
        <f>"92223390284"</f>
        <v>92223390284</v>
      </c>
      <c r="J1638" t="str">
        <f>"23-AFFIDAMENTO DIRETTO"</f>
        <v>23-AFFIDAMENTO DIRETTO</v>
      </c>
      <c r="K1638" t="str">
        <f>"26/10/2021"</f>
        <v>26/10/2021</v>
      </c>
      <c r="L1638" t="str">
        <f>"30/04/2022"</f>
        <v>30/04/2022</v>
      </c>
      <c r="M1638" t="str">
        <f>""</f>
        <v/>
      </c>
      <c r="N1638" t="str">
        <f>"Aggio e Figli Autotrasporti s.r.l. Via Chiusure 47 35020 Maserà di Padova PD"</f>
        <v>Aggio e Figli Autotrasporti s.r.l. Via Chiusure 47 35020 Maserà di Padova PD</v>
      </c>
      <c r="O1638" t="str">
        <f>"Aggio e Figli Autotrasporti s.r.l. Via Chiusure 47 35020 Maserà di Padova PD"</f>
        <v>Aggio e Figli Autotrasporti s.r.l. Via Chiusure 47 35020 Maserà di Padova PD</v>
      </c>
      <c r="P1638" t="str">
        <f>"ZDE33A0A8C: [3600.00€ ]"</f>
        <v>ZDE33A0A8C: [3600.00€ ]</v>
      </c>
      <c r="Q1638" t="str">
        <f>""</f>
        <v/>
      </c>
      <c r="R1638" t="str">
        <f>""</f>
        <v/>
      </c>
      <c r="S1638" t="str">
        <f>""</f>
        <v/>
      </c>
      <c r="T1638" t="str">
        <f>"https://portaletrasparenza.consorziobacchiglione.it/dettagli/attodigara/7239/servizio-camion-e-gru-per-il-sollevamento-e-riposizionamento-pompe-presso-idrovora-trezze-e-idrovia-terminale.html"</f>
        <v>https://portaletrasparenza.consorziobacchiglione.it/dettagli/attodigara/7239/servizio-camion-e-gru-per-il-sollevamento-e-riposizionamento-pompe-presso-idrovora-trezze-e-idrovia-terminale.html</v>
      </c>
      <c r="U1638" t="str">
        <f>"https://portaletrasparenza.consorziobacchiglione.it/download/attodigara/7239/63ac45e0ec455.PDF"</f>
        <v>https://portaletrasparenza.consorziobacchiglione.it/download/attodigara/7239/63ac45e0ec455.PDF</v>
      </c>
      <c r="V163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39" spans="1:22" x14ac:dyDescent="0.3">
      <c r="A1639" t="str">
        <f>"Affidamento"</f>
        <v>Affidamento</v>
      </c>
      <c r="B1639" t="str">
        <f>"Realizzazione di due manufatti di regolazione, uno da posizionarsi all'origine dello scolo Zaborra Diramazione e uno da posizionarsi in via San Pelagio fronte civico 43"</f>
        <v>Realizzazione di due manufatti di regolazione, uno da posizionarsi all'origine dello scolo Zaborra Diramazione e uno da posizionarsi in via San Pelagio fronte civico 43</v>
      </c>
      <c r="C1639" t="str">
        <f>"ZA733A0391"</f>
        <v>ZA733A0391</v>
      </c>
      <c r="D1639" t="str">
        <f>"26/10/2021"</f>
        <v>26/10/2021</v>
      </c>
      <c r="E1639" t="str">
        <f>""</f>
        <v/>
      </c>
      <c r="F1639" t="str">
        <f>""</f>
        <v/>
      </c>
      <c r="G1639" t="str">
        <f>"1763.00"</f>
        <v>1763.00</v>
      </c>
      <c r="H1639" t="str">
        <f>"Consorzio di bonifica Bacchiglione"</f>
        <v>Consorzio di bonifica Bacchiglione</v>
      </c>
      <c r="I1639" t="str">
        <f>"92223390284"</f>
        <v>92223390284</v>
      </c>
      <c r="J1639" t="str">
        <f>"23-AFFIDAMENTO DIRETTO"</f>
        <v>23-AFFIDAMENTO DIRETTO</v>
      </c>
      <c r="K1639" t="str">
        <f>"26/10/2021"</f>
        <v>26/10/2021</v>
      </c>
      <c r="L1639" t="str">
        <f>"24/08/2022"</f>
        <v>24/08/2022</v>
      </c>
      <c r="M1639" t="str">
        <f>""</f>
        <v/>
      </c>
      <c r="N1639" t="str">
        <f>"GV Carpenteria Via Santa Chiara 26 35040 Sant'Elena PD"</f>
        <v>GV Carpenteria Via Santa Chiara 26 35040 Sant'Elena PD</v>
      </c>
      <c r="O1639" t="str">
        <f>"GV Carpenteria Via Santa Chiara 26 35040 Sant'Elena PD"</f>
        <v>GV Carpenteria Via Santa Chiara 26 35040 Sant'Elena PD</v>
      </c>
      <c r="P1639" t="str">
        <f>"ZA733A0391: [1763.00€ ]"</f>
        <v>ZA733A0391: [1763.00€ ]</v>
      </c>
      <c r="Q1639" t="str">
        <f>""</f>
        <v/>
      </c>
      <c r="R1639" t="str">
        <f>""</f>
        <v/>
      </c>
      <c r="S1639" t="str">
        <f>""</f>
        <v/>
      </c>
      <c r="T1639" t="str">
        <f>"https://portaletrasparenza.consorziobacchiglione.it/dettagli/attodigara/7238/realizzazione-di-due-manufatti-di-regolazione-uno-da-posizionarsi-all-origine-dello-scolo-zaborra-diramazione-e-uno-da-posizionarsi-in-via-san-pelagio-fronte-civico-43.html"</f>
        <v>https://portaletrasparenza.consorziobacchiglione.it/dettagli/attodigara/7238/realizzazione-di-due-manufatti-di-regolazione-uno-da-posizionarsi-all-origine-dello-scolo-zaborra-diramazione-e-uno-da-posizionarsi-in-via-san-pelagio-fronte-civico-43.html</v>
      </c>
      <c r="U1639" t="str">
        <f>"https://portaletrasparenza.consorziobacchiglione.it/download/attodigara/7238/63ac45e0b2922.PDF"</f>
        <v>https://portaletrasparenza.consorziobacchiglione.it/download/attodigara/7238/63ac45e0b2922.PDF</v>
      </c>
      <c r="V16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40" spans="1:22" x14ac:dyDescent="0.3">
      <c r="A1640" t="str">
        <f>"Affidamento"</f>
        <v>Affidamento</v>
      </c>
      <c r="B1640" t="str">
        <f>"Fornitura e posa grigliato di protezione completo di telaio e attacchi a paratoia, e ulteriore fornitura di lamiera sagomata zincata per protezione e copertura degli organi di manovra presso By Pass scolo Boracchia"</f>
        <v>Fornitura e posa grigliato di protezione completo di telaio e attacchi a paratoia, e ulteriore fornitura di lamiera sagomata zincata per protezione e copertura degli organi di manovra presso By Pass scolo Boracchia</v>
      </c>
      <c r="C1640" t="str">
        <f>"Z07339D485"</f>
        <v>Z07339D485</v>
      </c>
      <c r="D1640" t="str">
        <f>"26/10/2021"</f>
        <v>26/10/2021</v>
      </c>
      <c r="E1640" t="str">
        <f>""</f>
        <v/>
      </c>
      <c r="F1640" t="str">
        <f>""</f>
        <v/>
      </c>
      <c r="G1640" t="str">
        <f>"1344.00"</f>
        <v>1344.00</v>
      </c>
      <c r="H1640" t="str">
        <f>"Consorzio di bonifica Bacchiglione"</f>
        <v>Consorzio di bonifica Bacchiglione</v>
      </c>
      <c r="I1640" t="str">
        <f>"92223390284"</f>
        <v>92223390284</v>
      </c>
      <c r="J1640" t="str">
        <f>"23-AFFIDAMENTO DIRETTO"</f>
        <v>23-AFFIDAMENTO DIRETTO</v>
      </c>
      <c r="K1640" t="str">
        <f>"26/10/2021"</f>
        <v>26/10/2021</v>
      </c>
      <c r="L1640" t="str">
        <f>"28/02/2022"</f>
        <v>28/02/2022</v>
      </c>
      <c r="M1640" t="str">
        <f>""</f>
        <v/>
      </c>
      <c r="N1640" t="str">
        <f>"GV Carpenteria Via Santa Chiara 26 35040 Sant'Elena PD"</f>
        <v>GV Carpenteria Via Santa Chiara 26 35040 Sant'Elena PD</v>
      </c>
      <c r="O1640" t="str">
        <f>"GV Carpenteria Via Santa Chiara 26 35040 Sant'Elena PD"</f>
        <v>GV Carpenteria Via Santa Chiara 26 35040 Sant'Elena PD</v>
      </c>
      <c r="P1640" t="str">
        <f>"Z07339D485: [1344.00€ ]"</f>
        <v>Z07339D485: [1344.00€ ]</v>
      </c>
      <c r="Q1640" t="str">
        <f>""</f>
        <v/>
      </c>
      <c r="R1640" t="str">
        <f>""</f>
        <v/>
      </c>
      <c r="S1640" t="str">
        <f>""</f>
        <v/>
      </c>
      <c r="T1640" t="s">
        <v>75</v>
      </c>
      <c r="U1640" t="str">
        <f>"https://portaletrasparenza.consorziobacchiglione.it/download/attodigara/7237/63ac45e079c78.PDF"</f>
        <v>https://portaletrasparenza.consorziobacchiglione.it/download/attodigara/7237/63ac45e079c78.PDF</v>
      </c>
      <c r="V16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41" spans="1:22" x14ac:dyDescent="0.3">
      <c r="A1641" t="str">
        <f>"Affidamento"</f>
        <v>Affidamento</v>
      </c>
      <c r="B1641" t="str">
        <f>"Rifacimento paratoia Cecconello completo di parapetto e porta a vento"</f>
        <v>Rifacimento paratoia Cecconello completo di parapetto e porta a vento</v>
      </c>
      <c r="C1641" t="str">
        <f>"ZC6339D30E"</f>
        <v>ZC6339D30E</v>
      </c>
      <c r="D1641" t="str">
        <f>"26/10/2021"</f>
        <v>26/10/2021</v>
      </c>
      <c r="E1641" t="str">
        <f>""</f>
        <v/>
      </c>
      <c r="F1641" t="str">
        <f>""</f>
        <v/>
      </c>
      <c r="G1641" t="str">
        <f>"6552.00"</f>
        <v>6552.00</v>
      </c>
      <c r="H1641" t="str">
        <f>"Consorzio di bonifica Bacchiglione"</f>
        <v>Consorzio di bonifica Bacchiglione</v>
      </c>
      <c r="I1641" t="str">
        <f>"92223390284"</f>
        <v>92223390284</v>
      </c>
      <c r="J1641" t="str">
        <f>"23-AFFIDAMENTO DIRETTO"</f>
        <v>23-AFFIDAMENTO DIRETTO</v>
      </c>
      <c r="K1641" t="str">
        <f>"26/10/2021"</f>
        <v>26/10/2021</v>
      </c>
      <c r="L1641" t="str">
        <f>"13/10/2022"</f>
        <v>13/10/2022</v>
      </c>
      <c r="M1641" t="str">
        <f>""</f>
        <v/>
      </c>
      <c r="N1641" t="str">
        <f>"GV Carpenteria Via Santa Chiara 26 35040 Sant'Elena PD"</f>
        <v>GV Carpenteria Via Santa Chiara 26 35040 Sant'Elena PD</v>
      </c>
      <c r="O1641" t="str">
        <f>"GV Carpenteria Via Santa Chiara 26 35040 Sant'Elena PD"</f>
        <v>GV Carpenteria Via Santa Chiara 26 35040 Sant'Elena PD</v>
      </c>
      <c r="P1641" t="str">
        <f>"ZC6339D30E: [6552.00€ ]"</f>
        <v>ZC6339D30E: [6552.00€ ]</v>
      </c>
      <c r="Q1641" t="str">
        <f>""</f>
        <v/>
      </c>
      <c r="R1641" t="str">
        <f>""</f>
        <v/>
      </c>
      <c r="S1641" t="str">
        <f>""</f>
        <v/>
      </c>
      <c r="T1641" t="str">
        <f>"https://portaletrasparenza.consorziobacchiglione.it/dettagli/attodigara/7236/rifacimento-paratoia-cecconello-completo-di-parapetto-e-porta-a-vento.html"</f>
        <v>https://portaletrasparenza.consorziobacchiglione.it/dettagli/attodigara/7236/rifacimento-paratoia-cecconello-completo-di-parapetto-e-porta-a-vento.html</v>
      </c>
      <c r="U1641" t="str">
        <f>"https://portaletrasparenza.consorziobacchiglione.it/download/attodigara/7236/63ac45e040e8c.PDF"</f>
        <v>https://portaletrasparenza.consorziobacchiglione.it/download/attodigara/7236/63ac45e040e8c.PDF</v>
      </c>
      <c r="V164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42" spans="1:22" x14ac:dyDescent="0.3">
      <c r="A1642" t="str">
        <f>"Affidamento"</f>
        <v>Affidamento</v>
      </c>
      <c r="B1642" t="str">
        <f>"Revisione più controllo e sistemazione mezzo targato: FB038DG"</f>
        <v>Revisione più controllo e sistemazione mezzo targato: FB038DG</v>
      </c>
      <c r="C1642" t="str">
        <f>"Z89339D057"</f>
        <v>Z89339D057</v>
      </c>
      <c r="D1642" t="str">
        <f>"26/10/2021"</f>
        <v>26/10/2021</v>
      </c>
      <c r="E1642" t="str">
        <f>""</f>
        <v/>
      </c>
      <c r="F1642" t="str">
        <f>""</f>
        <v/>
      </c>
      <c r="G1642" t="str">
        <f>"145.00"</f>
        <v>145.00</v>
      </c>
      <c r="H1642" t="str">
        <f>"Consorzio di bonifica Bacchiglione"</f>
        <v>Consorzio di bonifica Bacchiglione</v>
      </c>
      <c r="I1642" t="str">
        <f>"92223390284"</f>
        <v>92223390284</v>
      </c>
      <c r="J1642" t="str">
        <f>"23-AFFIDAMENTO DIRETTO"</f>
        <v>23-AFFIDAMENTO DIRETTO</v>
      </c>
      <c r="K1642" t="str">
        <f>"26/10/2021"</f>
        <v>26/10/2021</v>
      </c>
      <c r="L1642" t="str">
        <f>"06/11/2021"</f>
        <v>06/11/2021</v>
      </c>
      <c r="M1642" t="str">
        <f>""</f>
        <v/>
      </c>
      <c r="N1642" t="str">
        <f>"Autofficina Gobbato Gianluca via Vivaldi 40A 35028 Piove di sacco PD"</f>
        <v>Autofficina Gobbato Gianluca via Vivaldi 40A 35028 Piove di sacco PD</v>
      </c>
      <c r="O1642" t="str">
        <f>"Autofficina Gobbato Gianluca via Vivaldi 40A 35028 Piove di sacco PD"</f>
        <v>Autofficina Gobbato Gianluca via Vivaldi 40A 35028 Piove di sacco PD</v>
      </c>
      <c r="P1642" t="str">
        <f>"Z89339D057: [145.00€ ]"</f>
        <v>Z89339D057: [145.00€ ]</v>
      </c>
      <c r="Q1642" t="str">
        <f>""</f>
        <v/>
      </c>
      <c r="R1642" t="str">
        <f>""</f>
        <v/>
      </c>
      <c r="S1642" t="str">
        <f>""</f>
        <v/>
      </c>
      <c r="T1642" t="str">
        <f>"https://portaletrasparenza.consorziobacchiglione.it/dettagli/attodigara/7235/revisione-piu-controllo-e-sistemazione-mezzo-targato-fb038dg.html"</f>
        <v>https://portaletrasparenza.consorziobacchiglione.it/dettagli/attodigara/7235/revisione-piu-controllo-e-sistemazione-mezzo-targato-fb038dg.html</v>
      </c>
      <c r="U1642" t="str">
        <f>"https://portaletrasparenza.consorziobacchiglione.it/download/attodigara/7235/63ac45e007a08.PDF"</f>
        <v>https://portaletrasparenza.consorziobacchiglione.it/download/attodigara/7235/63ac45e007a08.PDF</v>
      </c>
      <c r="V16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43" spans="1:22" x14ac:dyDescent="0.3">
      <c r="A1643" t="str">
        <f>"Affidamento"</f>
        <v>Affidamento</v>
      </c>
      <c r="B1643" t="str">
        <f>"Pulizia straordinaria dei locali archivio delle pratiche Area Tecnica LLPP - Processo ID 002-16."</f>
        <v>Pulizia straordinaria dei locali archivio delle pratiche Area Tecnica LLPP - Processo ID 002-16.</v>
      </c>
      <c r="C1643" t="str">
        <f>"Z921C31CA5"</f>
        <v>Z921C31CA5</v>
      </c>
      <c r="D1643" t="str">
        <f>"04/11/2021"</f>
        <v>04/11/2021</v>
      </c>
      <c r="E1643" t="str">
        <f>""</f>
        <v/>
      </c>
      <c r="F1643" t="str">
        <f>""</f>
        <v/>
      </c>
      <c r="G1643" t="str">
        <f>"950.00"</f>
        <v>950.00</v>
      </c>
      <c r="H1643" t="str">
        <f>"Consorzio di bonifica Bacchiglione"</f>
        <v>Consorzio di bonifica Bacchiglione</v>
      </c>
      <c r="I1643" t="str">
        <f>"92223390284"</f>
        <v>92223390284</v>
      </c>
      <c r="J1643" t="str">
        <f>"23-AFFIDAMENTO DIRETTO"</f>
        <v>23-AFFIDAMENTO DIRETTO</v>
      </c>
      <c r="K1643" t="str">
        <f>"26/11/2021"</f>
        <v>26/11/2021</v>
      </c>
      <c r="L1643" t="str">
        <f>"30/12/2021"</f>
        <v>30/12/2021</v>
      </c>
      <c r="M1643" t="str">
        <f>""</f>
        <v/>
      </c>
      <c r="N1643" t="str">
        <f>"KING SERVICE SRL"</f>
        <v>KING SERVICE SRL</v>
      </c>
      <c r="O1643" t="str">
        <f>"KING SERVICE SRL"</f>
        <v>KING SERVICE SRL</v>
      </c>
      <c r="P1643" t="str">
        <f>"Z921C31CA5: [950.00€ ]"</f>
        <v>Z921C31CA5: [950.00€ ]</v>
      </c>
      <c r="Q1643" t="str">
        <f>""</f>
        <v/>
      </c>
      <c r="R1643" t="str">
        <f>""</f>
        <v/>
      </c>
      <c r="S1643" t="str">
        <f>""</f>
        <v/>
      </c>
      <c r="T1643" t="str">
        <f>"https://portaletrasparenza.consorziobacchiglione.it/dettagli/attodigara/954/pulizia-straordinaria-dei-locali-archivio-delle-pratiche-area-tecnica-llpp-processo-id-002-16.html"</f>
        <v>https://portaletrasparenza.consorziobacchiglione.it/dettagli/attodigara/954/pulizia-straordinaria-dei-locali-archivio-delle-pratiche-area-tecnica-llpp-processo-id-002-16.html</v>
      </c>
      <c r="U1643" t="str">
        <f>""</f>
        <v/>
      </c>
      <c r="V164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44" spans="1:22" x14ac:dyDescent="0.3">
      <c r="A1644" t="str">
        <f>"Affidamento"</f>
        <v>Affidamento</v>
      </c>
      <c r="B1644" t="str">
        <f>"Fornitura materiale elettrico per vari Impianti"</f>
        <v>Fornitura materiale elettrico per vari Impianti</v>
      </c>
      <c r="C1644" t="str">
        <f>"Z7B341EC24"</f>
        <v>Z7B341EC24</v>
      </c>
      <c r="D1644" t="str">
        <f>"29/11/2021"</f>
        <v>29/11/2021</v>
      </c>
      <c r="E1644" t="str">
        <f>""</f>
        <v/>
      </c>
      <c r="F1644" t="str">
        <f>""</f>
        <v/>
      </c>
      <c r="G1644" t="str">
        <f>"1929.60"</f>
        <v>1929.60</v>
      </c>
      <c r="H1644" t="str">
        <f>"Consorzio di bonifica Bacchiglione"</f>
        <v>Consorzio di bonifica Bacchiglione</v>
      </c>
      <c r="I1644" t="str">
        <f>"92223390284"</f>
        <v>92223390284</v>
      </c>
      <c r="J1644" t="str">
        <f>"23-AFFIDAMENTO DIRETTO"</f>
        <v>23-AFFIDAMENTO DIRETTO</v>
      </c>
      <c r="K1644" t="str">
        <f>"26/11/2021"</f>
        <v>26/11/2021</v>
      </c>
      <c r="L1644" t="str">
        <f>"28/02/2022"</f>
        <v>28/02/2022</v>
      </c>
      <c r="M1644" t="str">
        <f>""</f>
        <v/>
      </c>
      <c r="N1644" t="str">
        <f>"Elettroveneta S.p.A. Viale della Navigazione Interna, 48 - 35129 Padova (PD)"</f>
        <v>Elettroveneta S.p.A. Viale della Navigazione Interna, 48 - 35129 Padova (PD)</v>
      </c>
      <c r="O1644" t="str">
        <f>"Elettroveneta S.p.A. Viale della Navigazione Interna, 48 - 35129 Padova (PD)"</f>
        <v>Elettroveneta S.p.A. Viale della Navigazione Interna, 48 - 35129 Padova (PD)</v>
      </c>
      <c r="P1644" t="s">
        <v>229</v>
      </c>
      <c r="Q1644" t="str">
        <f>""</f>
        <v/>
      </c>
      <c r="R1644" t="str">
        <f>""</f>
        <v/>
      </c>
      <c r="S1644" t="str">
        <f>""</f>
        <v/>
      </c>
      <c r="T1644" t="str">
        <f>"https://portaletrasparenza.consorziobacchiglione.it/dettagli/attodigara/7314/fornitura-materiale-elettrico-per-vari-impianti.html"</f>
        <v>https://portaletrasparenza.consorziobacchiglione.it/dettagli/attodigara/7314/fornitura-materiale-elettrico-per-vari-impianti.html</v>
      </c>
      <c r="U1644" t="str">
        <f>"https://portaletrasparenza.consorziobacchiglione.it/download/attodigara/7314/63ac45f0be31e.PDF"</f>
        <v>https://portaletrasparenza.consorziobacchiglione.it/download/attodigara/7314/63ac45f0be31e.PDF</v>
      </c>
      <c r="V164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45" spans="1:22" x14ac:dyDescent="0.3">
      <c r="A1645" t="str">
        <f>"Affidamento"</f>
        <v>Affidamento</v>
      </c>
      <c r="B1645" t="str">
        <f>"Fornitura di n.1000 mascherine chirurgiche 3 strati per personale esterno"</f>
        <v>Fornitura di n.1000 mascherine chirurgiche 3 strati per personale esterno</v>
      </c>
      <c r="C1645" t="str">
        <f>"Z0E341EF1E"</f>
        <v>Z0E341EF1E</v>
      </c>
      <c r="D1645" t="str">
        <f>"29/11/2021"</f>
        <v>29/11/2021</v>
      </c>
      <c r="E1645" t="str">
        <f>""</f>
        <v/>
      </c>
      <c r="F1645" t="str">
        <f>""</f>
        <v/>
      </c>
      <c r="G1645" t="str">
        <f>"118.87"</f>
        <v>118.87</v>
      </c>
      <c r="H1645" t="str">
        <f>"Consorzio di bonifica Bacchiglione"</f>
        <v>Consorzio di bonifica Bacchiglione</v>
      </c>
      <c r="I1645" t="str">
        <f>"92223390284"</f>
        <v>92223390284</v>
      </c>
      <c r="J1645" t="str">
        <f>"23-AFFIDAMENTO DIRETTO"</f>
        <v>23-AFFIDAMENTO DIRETTO</v>
      </c>
      <c r="K1645" t="str">
        <f>"26/11/2021"</f>
        <v>26/11/2021</v>
      </c>
      <c r="L1645" t="str">
        <f>"30/11/2021"</f>
        <v>30/11/2021</v>
      </c>
      <c r="M1645" t="str">
        <f>""</f>
        <v/>
      </c>
      <c r="N1645" t="str">
        <f>"Fip Articoli Tecnici S.r.l. Viale Regione Veneto 9 35127 Padova"</f>
        <v>Fip Articoli Tecnici S.r.l. Viale Regione Veneto 9 35127 Padova</v>
      </c>
      <c r="O1645" t="str">
        <f>"Fip Articoli Tecnici S.r.l. Viale Regione Veneto 9 35127 Padova"</f>
        <v>Fip Articoli Tecnici S.r.l. Viale Regione Veneto 9 35127 Padova</v>
      </c>
      <c r="P1645" t="s">
        <v>340</v>
      </c>
      <c r="Q1645" t="str">
        <f>""</f>
        <v/>
      </c>
      <c r="R1645" t="str">
        <f>""</f>
        <v/>
      </c>
      <c r="S1645" t="str">
        <f>""</f>
        <v/>
      </c>
      <c r="T1645" t="str">
        <f>"https://portaletrasparenza.consorziobacchiglione.it/dettagli/attodigara/7315/fornitura-di-n-1000-mascherine-chirurgiche-3-strati-per-personale-esterno.html"</f>
        <v>https://portaletrasparenza.consorziobacchiglione.it/dettagli/attodigara/7315/fornitura-di-n-1000-mascherine-chirurgiche-3-strati-per-personale-esterno.html</v>
      </c>
      <c r="U1645" t="str">
        <f>"https://portaletrasparenza.consorziobacchiglione.it/download/attodigara/7315/63ac45f102eba.PDF"</f>
        <v>https://portaletrasparenza.consorziobacchiglione.it/download/attodigara/7315/63ac45f102eba.PDF</v>
      </c>
      <c r="V164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46" spans="1:22" x14ac:dyDescent="0.3">
      <c r="A1646" t="str">
        <f>"Affidamento"</f>
        <v>Affidamento</v>
      </c>
      <c r="B1646" t="str">
        <f>"Sostituzione perno e boccole attacco bilancere con aggiornamento software presso mezzo targato: PDAH521"</f>
        <v>Sostituzione perno e boccole attacco bilancere con aggiornamento software presso mezzo targato: PDAH521</v>
      </c>
      <c r="C1646" t="str">
        <f>"Z69341F213"</f>
        <v>Z69341F213</v>
      </c>
      <c r="D1646" t="str">
        <f>"29/11/2021"</f>
        <v>29/11/2021</v>
      </c>
      <c r="E1646" t="str">
        <f>""</f>
        <v/>
      </c>
      <c r="F1646" t="str">
        <f>""</f>
        <v/>
      </c>
      <c r="G1646" t="str">
        <f>"2131.36"</f>
        <v>2131.36</v>
      </c>
      <c r="H1646" t="str">
        <f>"Consorzio di bonifica Bacchiglione"</f>
        <v>Consorzio di bonifica Bacchiglione</v>
      </c>
      <c r="I1646" t="str">
        <f>"92223390284"</f>
        <v>92223390284</v>
      </c>
      <c r="J1646" t="str">
        <f>"23-AFFIDAMENTO DIRETTO"</f>
        <v>23-AFFIDAMENTO DIRETTO</v>
      </c>
      <c r="K1646" t="str">
        <f>"26/11/2021"</f>
        <v>26/11/2021</v>
      </c>
      <c r="L1646" t="str">
        <f>"18/02/2022"</f>
        <v>18/02/2022</v>
      </c>
      <c r="M1646" t="str">
        <f>""</f>
        <v/>
      </c>
      <c r="N1646" t="str">
        <f>"Adriatica Commerciale Macchine s.r.l. Via dell'Artigianato 5 35020 Due Carrare PD"</f>
        <v>Adriatica Commerciale Macchine s.r.l. Via dell'Artigianato 5 35020 Due Carrare PD</v>
      </c>
      <c r="O1646" t="str">
        <f>"Adriatica Commerciale Macchine s.r.l. Via dell'Artigianato 5 35020 Due Carrare PD"</f>
        <v>Adriatica Commerciale Macchine s.r.l. Via dell'Artigianato 5 35020 Due Carrare PD</v>
      </c>
      <c r="P1646" t="str">
        <f>"Z69341F213: [2131.36€ ]"</f>
        <v>Z69341F213: [2131.36€ ]</v>
      </c>
      <c r="Q1646" t="str">
        <f>""</f>
        <v/>
      </c>
      <c r="R1646" t="str">
        <f>""</f>
        <v/>
      </c>
      <c r="S1646" t="str">
        <f>""</f>
        <v/>
      </c>
      <c r="T1646" t="str">
        <f>"https://portaletrasparenza.consorziobacchiglione.it/dettagli/attodigara/7316/sostituzione-perno-e-boccole-attacco-bilancere-con-aggiornamento-software-presso-mezzo-targato-pdah521.html"</f>
        <v>https://portaletrasparenza.consorziobacchiglione.it/dettagli/attodigara/7316/sostituzione-perno-e-boccole-attacco-bilancere-con-aggiornamento-software-presso-mezzo-targato-pdah521.html</v>
      </c>
      <c r="U1646" t="str">
        <f>"https://portaletrasparenza.consorziobacchiglione.it/download/attodigara/7316/63ac45f13bd9e.PDF"</f>
        <v>https://portaletrasparenza.consorziobacchiglione.it/download/attodigara/7316/63ac45f13bd9e.PDF</v>
      </c>
      <c r="V16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47" spans="1:22" x14ac:dyDescent="0.3">
      <c r="A1647" t="str">
        <f>"Affidamento"</f>
        <v>Affidamento</v>
      </c>
      <c r="B1647" t="str">
        <f>"Tagliando completo motopompa Varisco N.4 e N.6 presso C.O.S.Margherita."</f>
        <v>Tagliando completo motopompa Varisco N.4 e N.6 presso C.O.S.Margherita.</v>
      </c>
      <c r="C1647" t="str">
        <f>"Z02341DF23"</f>
        <v>Z02341DF23</v>
      </c>
      <c r="D1647" t="str">
        <f>"29/11/2021"</f>
        <v>29/11/2021</v>
      </c>
      <c r="E1647" t="str">
        <f>""</f>
        <v/>
      </c>
      <c r="F1647" t="str">
        <f>""</f>
        <v/>
      </c>
      <c r="G1647" t="str">
        <f>"676.05"</f>
        <v>676.05</v>
      </c>
      <c r="H1647" t="str">
        <f>"Consorzio di bonifica Bacchiglione"</f>
        <v>Consorzio di bonifica Bacchiglione</v>
      </c>
      <c r="I1647" t="str">
        <f>"92223390284"</f>
        <v>92223390284</v>
      </c>
      <c r="J1647" t="str">
        <f>"23-AFFIDAMENTO DIRETTO"</f>
        <v>23-AFFIDAMENTO DIRETTO</v>
      </c>
      <c r="K1647" t="str">
        <f>"26/11/2021"</f>
        <v>26/11/2021</v>
      </c>
      <c r="L1647" t="str">
        <f>"07/12/2021"</f>
        <v>07/12/2021</v>
      </c>
      <c r="M1647" t="str">
        <f>""</f>
        <v/>
      </c>
      <c r="N1647" t="str">
        <f>"Officina Biesse S.n.c. Via Matteotti 24 35020 Arzergrande PD"</f>
        <v>Officina Biesse S.n.c. Via Matteotti 24 35020 Arzergrande PD</v>
      </c>
      <c r="O1647" t="str">
        <f>"Officina Biesse S.n.c. Via Matteotti 24 35020 Arzergrande PD"</f>
        <v>Officina Biesse S.n.c. Via Matteotti 24 35020 Arzergrande PD</v>
      </c>
      <c r="P1647" t="str">
        <f>"Z02341DF23: [0.00€ ]"</f>
        <v>Z02341DF23: [0.00€ ]</v>
      </c>
      <c r="Q1647" t="str">
        <f>""</f>
        <v/>
      </c>
      <c r="R1647" t="str">
        <f>""</f>
        <v/>
      </c>
      <c r="S1647" t="str">
        <f>""</f>
        <v/>
      </c>
      <c r="T1647" t="str">
        <f>"https://portaletrasparenza.consorziobacchiglione.it/dettagli/attodigara/7313/tagliando-completo-motopompa-varisco-n-4-e-n-6-presso-c-o-s-margherita.html"</f>
        <v>https://portaletrasparenza.consorziobacchiglione.it/dettagli/attodigara/7313/tagliando-completo-motopompa-varisco-n-4-e-n-6-presso-c-o-s-margherita.html</v>
      </c>
      <c r="U1647" t="str">
        <f>"https://portaletrasparenza.consorziobacchiglione.it/download/attodigara/7313/62a210cc98de5.PDF"</f>
        <v>https://portaletrasparenza.consorziobacchiglione.it/download/attodigara/7313/62a210cc98de5.PDF</v>
      </c>
      <c r="V1647">
        <f>(SUBSTITUTE(Tabella1[[#This Row],[Importo di aggiudicazione]],".",","))-(SUBSTITUTE(  SUBSTITUTE(          SUBSTITUTE(Tabella1[[#This Row],[Dettaglio somme liquidate]],Tabella1[[#This Row],[CIG]]&amp;": [",""),"€ ]",""),".",","))</f>
        <v>676.05</v>
      </c>
    </row>
    <row r="1648" spans="1:22" x14ac:dyDescent="0.3">
      <c r="A1648" t="str">
        <f>"Affidamento"</f>
        <v>Affidamento</v>
      </c>
      <c r="B1648" t="str">
        <f>"Tagliando completo e revisione pompa iniezione presso motopompa Varisco MP1 J300 C.O.S.Margherita."</f>
        <v>Tagliando completo e revisione pompa iniezione presso motopompa Varisco MP1 J300 C.O.S.Margherita.</v>
      </c>
      <c r="C1648" t="str">
        <f>"ZCE341D955"</f>
        <v>ZCE341D955</v>
      </c>
      <c r="D1648" t="str">
        <f>"29/11/2021"</f>
        <v>29/11/2021</v>
      </c>
      <c r="E1648" t="str">
        <f>""</f>
        <v/>
      </c>
      <c r="F1648" t="str">
        <f>""</f>
        <v/>
      </c>
      <c r="G1648" t="str">
        <f>"2338.60"</f>
        <v>2338.60</v>
      </c>
      <c r="H1648" t="str">
        <f>"Consorzio di bonifica Bacchiglione"</f>
        <v>Consorzio di bonifica Bacchiglione</v>
      </c>
      <c r="I1648" t="str">
        <f>"92223390284"</f>
        <v>92223390284</v>
      </c>
      <c r="J1648" t="str">
        <f>"23-AFFIDAMENTO DIRETTO"</f>
        <v>23-AFFIDAMENTO DIRETTO</v>
      </c>
      <c r="K1648" t="str">
        <f>"26/11/2021"</f>
        <v>26/11/2021</v>
      </c>
      <c r="L1648" t="str">
        <f>"06/12/2021"</f>
        <v>06/12/2021</v>
      </c>
      <c r="M1648" t="str">
        <f>""</f>
        <v/>
      </c>
      <c r="N1648" t="str">
        <f>"Officina Biesse S.n.c. Via Matteotti 24 35020 Arzergrande PD"</f>
        <v>Officina Biesse S.n.c. Via Matteotti 24 35020 Arzergrande PD</v>
      </c>
      <c r="O1648" t="str">
        <f>"Officina Biesse S.n.c. Via Matteotti 24 35020 Arzergrande PD"</f>
        <v>Officina Biesse S.n.c. Via Matteotti 24 35020 Arzergrande PD</v>
      </c>
      <c r="P1648" t="str">
        <f>"ZCE341D955: [0.00€ ]"</f>
        <v>ZCE341D955: [0.00€ ]</v>
      </c>
      <c r="Q1648" t="str">
        <f>""</f>
        <v/>
      </c>
      <c r="R1648" t="str">
        <f>""</f>
        <v/>
      </c>
      <c r="S1648" t="str">
        <f>""</f>
        <v/>
      </c>
      <c r="T1648" t="str">
        <f>"https://portaletrasparenza.consorziobacchiglione.it/dettagli/attodigara/7312/tagliando-completo-e-revisione-pompa-iniezione-presso-motopompa-varisco-mp1-j300-c-o-s-margherita.html"</f>
        <v>https://portaletrasparenza.consorziobacchiglione.it/dettagli/attodigara/7312/tagliando-completo-e-revisione-pompa-iniezione-presso-motopompa-varisco-mp1-j300-c-o-s-margherita.html</v>
      </c>
      <c r="U1648" t="str">
        <f>"https://portaletrasparenza.consorziobacchiglione.it/download/attodigara/7312/62a210cc25f23.PDF"</f>
        <v>https://portaletrasparenza.consorziobacchiglione.it/download/attodigara/7312/62a210cc25f23.PDF</v>
      </c>
      <c r="V1648">
        <f>(SUBSTITUTE(Tabella1[[#This Row],[Importo di aggiudicazione]],".",","))-(SUBSTITUTE(  SUBSTITUTE(          SUBSTITUTE(Tabella1[[#This Row],[Dettaglio somme liquidate]],Tabella1[[#This Row],[CIG]]&amp;": [",""),"€ ]",""),".",","))</f>
        <v>2338.6</v>
      </c>
    </row>
    <row r="1649" spans="1:22" x14ac:dyDescent="0.3">
      <c r="A1649" t="str">
        <f>"Affidamento"</f>
        <v>Affidamento</v>
      </c>
      <c r="B1649" t="str">
        <f>"Manutenzione e riparazione mezzi con targa: PDAF496, AGP870."</f>
        <v>Manutenzione e riparazione mezzi con targa: PDAF496, AGP870.</v>
      </c>
      <c r="C1649" t="str">
        <f>"Z9C183A7FE"</f>
        <v>Z9C183A7FE</v>
      </c>
      <c r="D1649" t="str">
        <f>"04/11/2021"</f>
        <v>04/11/2021</v>
      </c>
      <c r="E1649" t="str">
        <f>""</f>
        <v/>
      </c>
      <c r="F1649" t="str">
        <f>""</f>
        <v/>
      </c>
      <c r="G1649" t="str">
        <f>"4663.08"</f>
        <v>4663.08</v>
      </c>
      <c r="H1649" t="str">
        <f>"Consorzio di bonifica Bacchiglione"</f>
        <v>Consorzio di bonifica Bacchiglione</v>
      </c>
      <c r="I1649" t="str">
        <f>"92223390284"</f>
        <v>92223390284</v>
      </c>
      <c r="J1649" t="str">
        <f>"23-AFFIDAMENTO DIRETTO"</f>
        <v>23-AFFIDAMENTO DIRETTO</v>
      </c>
      <c r="K1649" t="str">
        <f>"27/01/2021"</f>
        <v>27/01/2021</v>
      </c>
      <c r="L1649" t="str">
        <f>"10/03/2021"</f>
        <v>10/03/2021</v>
      </c>
      <c r="M1649" t="str">
        <f>""</f>
        <v/>
      </c>
      <c r="N1649" t="str">
        <f>"Officina Biesse S.n.c. Via Matteotti 24 35020 Arzergrande PD"</f>
        <v>Officina Biesse S.n.c. Via Matteotti 24 35020 Arzergrande PD</v>
      </c>
      <c r="O1649" t="str">
        <f>"Officina Biesse S.n.c. Via Matteotti 24 35020 Arzergrande PD"</f>
        <v>Officina Biesse S.n.c. Via Matteotti 24 35020 Arzergrande PD</v>
      </c>
      <c r="P1649" t="str">
        <f>"Z9C183A7FE: [4663.08€ ]"</f>
        <v>Z9C183A7FE: [4663.08€ ]</v>
      </c>
      <c r="Q1649" t="str">
        <f>""</f>
        <v/>
      </c>
      <c r="R1649" t="str">
        <f>""</f>
        <v/>
      </c>
      <c r="S1649" t="str">
        <f>""</f>
        <v/>
      </c>
      <c r="T1649" t="str">
        <f>"https://portaletrasparenza.consorziobacchiglione.it/dettagli/attodigara/100/manutenzione-e-riparazione-mezzi-con-targa-pdaf496-agp870.html"</f>
        <v>https://portaletrasparenza.consorziobacchiglione.it/dettagli/attodigara/100/manutenzione-e-riparazione-mezzi-con-targa-pdaf496-agp870.html</v>
      </c>
      <c r="U1649" t="str">
        <f>""</f>
        <v/>
      </c>
      <c r="V16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50" spans="1:22" x14ac:dyDescent="0.3">
      <c r="A1650" t="str">
        <f>"Affidamento"</f>
        <v>Affidamento</v>
      </c>
      <c r="B1650" t="str">
        <f>"Inversione gomme ant/post su mezzo con targa: AGK711."</f>
        <v>Inversione gomme ant/post su mezzo con targa: AGK711.</v>
      </c>
      <c r="C1650" t="str">
        <f>"Z8B1839C8C"</f>
        <v>Z8B1839C8C</v>
      </c>
      <c r="D1650" t="str">
        <f>"04/11/2021"</f>
        <v>04/11/2021</v>
      </c>
      <c r="E1650" t="str">
        <f>""</f>
        <v/>
      </c>
      <c r="F1650" t="str">
        <f>""</f>
        <v/>
      </c>
      <c r="G1650" t="str">
        <f>"50.00"</f>
        <v>50.00</v>
      </c>
      <c r="H1650" t="str">
        <f>"Consorzio di bonifica Bacchiglione"</f>
        <v>Consorzio di bonifica Bacchiglione</v>
      </c>
      <c r="I1650" t="str">
        <f>"92223390284"</f>
        <v>92223390284</v>
      </c>
      <c r="J1650" t="str">
        <f>"23-AFFIDAMENTO DIRETTO"</f>
        <v>23-AFFIDAMENTO DIRETTO</v>
      </c>
      <c r="K1650" t="str">
        <f>"27/01/2021"</f>
        <v>27/01/2021</v>
      </c>
      <c r="L1650" t="str">
        <f>"22/02/2021"</f>
        <v>22/02/2021</v>
      </c>
      <c r="M1650" t="str">
        <f>""</f>
        <v/>
      </c>
      <c r="N1650" t="str">
        <f>"Galesso Roberto Via San Rocco 52B 35028 Piove di Sacco PD"</f>
        <v>Galesso Roberto Via San Rocco 52B 35028 Piove di Sacco PD</v>
      </c>
      <c r="O1650" t="str">
        <f>"Galesso Roberto Via San Rocco 52B 35028 Piove di Sacco PD"</f>
        <v>Galesso Roberto Via San Rocco 52B 35028 Piove di Sacco PD</v>
      </c>
      <c r="P1650" t="str">
        <f>"Z8B1839C8C: [50.00€ ]"</f>
        <v>Z8B1839C8C: [50.00€ ]</v>
      </c>
      <c r="Q1650" t="str">
        <f>""</f>
        <v/>
      </c>
      <c r="R1650" t="str">
        <f>""</f>
        <v/>
      </c>
      <c r="S1650" t="str">
        <f>""</f>
        <v/>
      </c>
      <c r="T1650" t="str">
        <f>"https://portaletrasparenza.consorziobacchiglione.it/dettagli/attodigara/98/inversione-gomme-ant-post-su-mezzo-con-targa-agk711.html"</f>
        <v>https://portaletrasparenza.consorziobacchiglione.it/dettagli/attodigara/98/inversione-gomme-ant-post-su-mezzo-con-targa-agk711.html</v>
      </c>
      <c r="U1650" t="str">
        <f>""</f>
        <v/>
      </c>
      <c r="V165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51" spans="1:22" x14ac:dyDescent="0.3">
      <c r="A1651" t="str">
        <f>"Affidamento"</f>
        <v>Affidamento</v>
      </c>
      <c r="B1651" t="str">
        <f>"Pulizia tombinatura e lavaggio condotte, adescamento sifoni Canale Battaglia."</f>
        <v>Pulizia tombinatura e lavaggio condotte, adescamento sifoni Canale Battaglia.</v>
      </c>
      <c r="C1651" t="str">
        <f>"ZB31839B90"</f>
        <v>ZB31839B90</v>
      </c>
      <c r="D1651" t="str">
        <f>"04/11/2021"</f>
        <v>04/11/2021</v>
      </c>
      <c r="E1651" t="str">
        <f>""</f>
        <v/>
      </c>
      <c r="F1651" t="str">
        <f>""</f>
        <v/>
      </c>
      <c r="G1651" t="str">
        <f>"5100.00"</f>
        <v>5100.00</v>
      </c>
      <c r="H1651" t="str">
        <f>"Consorzio di bonifica Bacchiglione"</f>
        <v>Consorzio di bonifica Bacchiglione</v>
      </c>
      <c r="I1651" t="str">
        <f>"92223390284"</f>
        <v>92223390284</v>
      </c>
      <c r="J1651" t="str">
        <f>"23-AFFIDAMENTO DIRETTO"</f>
        <v>23-AFFIDAMENTO DIRETTO</v>
      </c>
      <c r="K1651" t="str">
        <f>"27/01/2021"</f>
        <v>27/01/2021</v>
      </c>
      <c r="L1651" t="str">
        <f>"12/02/2021"</f>
        <v>12/02/2021</v>
      </c>
      <c r="M1651" t="str">
        <f>""</f>
        <v/>
      </c>
      <c r="N1651" t="str">
        <f>"Carrarespurghi di Peraro Filippo Via G Verdi 4 35020 Due Carrare PD"</f>
        <v>Carrarespurghi di Peraro Filippo Via G Verdi 4 35020 Due Carrare PD</v>
      </c>
      <c r="O1651" t="str">
        <f>"Carrarespurghi di Peraro Filippo Via G Verdi 4 35020 Due Carrare PD"</f>
        <v>Carrarespurghi di Peraro Filippo Via G Verdi 4 35020 Due Carrare PD</v>
      </c>
      <c r="P1651" t="str">
        <f>"ZB31839B90: [5100.00€ ]"</f>
        <v>ZB31839B90: [5100.00€ ]</v>
      </c>
      <c r="Q1651" t="str">
        <f>""</f>
        <v/>
      </c>
      <c r="R1651" t="str">
        <f>""</f>
        <v/>
      </c>
      <c r="S1651" t="str">
        <f>""</f>
        <v/>
      </c>
      <c r="T1651" t="str">
        <f>"https://portaletrasparenza.consorziobacchiglione.it/dettagli/attodigara/97/pulizia-tombinatura-e-lavaggio-condotte-adescamento-sifoni-canale-battaglia.html"</f>
        <v>https://portaletrasparenza.consorziobacchiglione.it/dettagli/attodigara/97/pulizia-tombinatura-e-lavaggio-condotte-adescamento-sifoni-canale-battaglia.html</v>
      </c>
      <c r="U1651" t="str">
        <f>""</f>
        <v/>
      </c>
      <c r="V165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52" spans="1:22" x14ac:dyDescent="0.3">
      <c r="A1652" t="str">
        <f>"Affidamento"</f>
        <v>Affidamento</v>
      </c>
      <c r="B1652" t="str">
        <f>"Trasporto materiale fangoso da scolo Capitano all'Idrovora Ponte di Riva."</f>
        <v>Trasporto materiale fangoso da scolo Capitano all'Idrovora Ponte di Riva.</v>
      </c>
      <c r="C1652" t="str">
        <f>"Z1C1839724"</f>
        <v>Z1C1839724</v>
      </c>
      <c r="D1652" t="str">
        <f>"04/11/2021"</f>
        <v>04/11/2021</v>
      </c>
      <c r="E1652" t="str">
        <f>""</f>
        <v/>
      </c>
      <c r="F1652" t="str">
        <f>""</f>
        <v/>
      </c>
      <c r="G1652" t="str">
        <f>"1760.00"</f>
        <v>1760.00</v>
      </c>
      <c r="H1652" t="str">
        <f>"Consorzio di bonifica Bacchiglione"</f>
        <v>Consorzio di bonifica Bacchiglione</v>
      </c>
      <c r="I1652" t="str">
        <f>"92223390284"</f>
        <v>92223390284</v>
      </c>
      <c r="J1652" t="str">
        <f>"23-AFFIDAMENTO DIRETTO"</f>
        <v>23-AFFIDAMENTO DIRETTO</v>
      </c>
      <c r="K1652" t="str">
        <f>"27/01/2021"</f>
        <v>27/01/2021</v>
      </c>
      <c r="L1652" t="str">
        <f>"14/04/2021"</f>
        <v>14/04/2021</v>
      </c>
      <c r="M1652" t="str">
        <f>""</f>
        <v/>
      </c>
      <c r="N1652" t="str">
        <f>"Martini Luciano s.r.l. Via Bagnara Alta 1172 35030 VO PD"</f>
        <v>Martini Luciano s.r.l. Via Bagnara Alta 1172 35030 VO PD</v>
      </c>
      <c r="O1652" t="str">
        <f>"Martini Luciano s.r.l. Via Bagnara Alta 1172 35030 VO PD"</f>
        <v>Martini Luciano s.r.l. Via Bagnara Alta 1172 35030 VO PD</v>
      </c>
      <c r="P1652" t="str">
        <f>"Z1C1839724: [1760.00€ ]"</f>
        <v>Z1C1839724: [1760.00€ ]</v>
      </c>
      <c r="Q1652" t="str">
        <f>""</f>
        <v/>
      </c>
      <c r="R1652" t="str">
        <f>""</f>
        <v/>
      </c>
      <c r="S1652" t="str">
        <f>""</f>
        <v/>
      </c>
      <c r="T1652" t="str">
        <f>"https://portaletrasparenza.consorziobacchiglione.it/dettagli/attodigara/96/trasporto-materiale-fangoso-da-scolo-capitano-all-idrovora-ponte-di-riva.html"</f>
        <v>https://portaletrasparenza.consorziobacchiglione.it/dettagli/attodigara/96/trasporto-materiale-fangoso-da-scolo-capitano-all-idrovora-ponte-di-riva.html</v>
      </c>
      <c r="U1652" t="str">
        <f>""</f>
        <v/>
      </c>
      <c r="V16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53" spans="1:22" x14ac:dyDescent="0.3">
      <c r="A1653" t="str">
        <f>"Affidamento"</f>
        <v>Affidamento</v>
      </c>
      <c r="B1653" t="str">
        <f>"Riparazione e manutenzione elettroutensili vari per C.O.S.Margherita."</f>
        <v>Riparazione e manutenzione elettroutensili vari per C.O.S.Margherita.</v>
      </c>
      <c r="C1653" t="str">
        <f>"ZF3183944D"</f>
        <v>ZF3183944D</v>
      </c>
      <c r="D1653" t="str">
        <f>"04/11/2021"</f>
        <v>04/11/2021</v>
      </c>
      <c r="E1653" t="str">
        <f>""</f>
        <v/>
      </c>
      <c r="F1653" t="str">
        <f>""</f>
        <v/>
      </c>
      <c r="G1653" t="str">
        <f>"480.90"</f>
        <v>480.90</v>
      </c>
      <c r="H1653" t="str">
        <f>"Consorzio di bonifica Bacchiglione"</f>
        <v>Consorzio di bonifica Bacchiglione</v>
      </c>
      <c r="I1653" t="str">
        <f>"92223390284"</f>
        <v>92223390284</v>
      </c>
      <c r="J1653" t="str">
        <f>"23-AFFIDAMENTO DIRETTO"</f>
        <v>23-AFFIDAMENTO DIRETTO</v>
      </c>
      <c r="K1653" t="str">
        <f>"27/01/2021"</f>
        <v>27/01/2021</v>
      </c>
      <c r="L1653" t="str">
        <f>"10/03/2021"</f>
        <v>10/03/2021</v>
      </c>
      <c r="M1653" t="str">
        <f>""</f>
        <v/>
      </c>
      <c r="N1653" t="str">
        <f>"Scarpa Sergio Elettromeccanica S.n.c. di Scarpa Paola E C. Via A. Vivaldi 7 35028 Piove di Sacco PD"</f>
        <v>Scarpa Sergio Elettromeccanica S.n.c. di Scarpa Paola E C. Via A. Vivaldi 7 35028 Piove di Sacco PD</v>
      </c>
      <c r="O1653" t="str">
        <f>"Scarpa Sergio Elettromeccanica S.n.c. di Scarpa Paola E C. Via A. Vivaldi 7 35028 Piove di Sacco PD"</f>
        <v>Scarpa Sergio Elettromeccanica S.n.c. di Scarpa Paola E C. Via A. Vivaldi 7 35028 Piove di Sacco PD</v>
      </c>
      <c r="P1653" t="str">
        <f>"ZF3183944D: [480.90€ ]"</f>
        <v>ZF3183944D: [480.90€ ]</v>
      </c>
      <c r="Q1653" t="str">
        <f>""</f>
        <v/>
      </c>
      <c r="R1653" t="str">
        <f>""</f>
        <v/>
      </c>
      <c r="S1653" t="str">
        <f>""</f>
        <v/>
      </c>
      <c r="T1653" t="str">
        <f>"https://portaletrasparenza.consorziobacchiglione.it/dettagli/attodigara/95/riparazione-e-manutenzione-elettroutensili-vari-per-c-o-s-margherita.html"</f>
        <v>https://portaletrasparenza.consorziobacchiglione.it/dettagli/attodigara/95/riparazione-e-manutenzione-elettroutensili-vari-per-c-o-s-margherita.html</v>
      </c>
      <c r="U1653" t="str">
        <f>""</f>
        <v/>
      </c>
      <c r="V16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54" spans="1:22" x14ac:dyDescent="0.3">
      <c r="A1654" t="str">
        <f>"Affidamento"</f>
        <v>Affidamento</v>
      </c>
      <c r="B1654" t="str">
        <f>"Fornitura motore elettrico trifase per Sostegno Biancolino, foglio di rete inox per Idrovora Madonetta, giunto elastomero per Nodo di Tassia e paratoie Melina di Corte."</f>
        <v>Fornitura motore elettrico trifase per Sostegno Biancolino, foglio di rete inox per Idrovora Madonetta, giunto elastomero per Nodo di Tassia e paratoie Melina di Corte.</v>
      </c>
      <c r="C1654" t="str">
        <f>"Z9318390FA"</f>
        <v>Z9318390FA</v>
      </c>
      <c r="D1654" t="str">
        <f>"04/11/2021"</f>
        <v>04/11/2021</v>
      </c>
      <c r="E1654" t="str">
        <f>""</f>
        <v/>
      </c>
      <c r="F1654" t="str">
        <f>""</f>
        <v/>
      </c>
      <c r="G1654" t="str">
        <f>"1071.40"</f>
        <v>1071.40</v>
      </c>
      <c r="H1654" t="str">
        <f>"Consorzio di bonifica Bacchiglione"</f>
        <v>Consorzio di bonifica Bacchiglione</v>
      </c>
      <c r="I1654" t="str">
        <f>"92223390284"</f>
        <v>92223390284</v>
      </c>
      <c r="J1654" t="str">
        <f>"23-AFFIDAMENTO DIRETTO"</f>
        <v>23-AFFIDAMENTO DIRETTO</v>
      </c>
      <c r="K1654" t="str">
        <f>"27/01/2021"</f>
        <v>27/01/2021</v>
      </c>
      <c r="L1654" t="str">
        <f>"10/03/2021"</f>
        <v>10/03/2021</v>
      </c>
      <c r="M1654" t="str">
        <f>""</f>
        <v/>
      </c>
      <c r="N1654" t="str">
        <f>"Scarpa Sergio Elettromeccanica S.n.c. di Scarpa Paola E C. Via A. Vivaldi 7 35028 Piove di Sacco PD"</f>
        <v>Scarpa Sergio Elettromeccanica S.n.c. di Scarpa Paola E C. Via A. Vivaldi 7 35028 Piove di Sacco PD</v>
      </c>
      <c r="O1654" t="str">
        <f>"Scarpa Sergio Elettromeccanica S.n.c. di Scarpa Paola E C. Via A. Vivaldi 7 35028 Piove di Sacco PD"</f>
        <v>Scarpa Sergio Elettromeccanica S.n.c. di Scarpa Paola E C. Via A. Vivaldi 7 35028 Piove di Sacco PD</v>
      </c>
      <c r="P1654" t="str">
        <f>"Z9318390FA: [1071.40€ ]"</f>
        <v>Z9318390FA: [1071.40€ ]</v>
      </c>
      <c r="Q1654" t="str">
        <f>""</f>
        <v/>
      </c>
      <c r="R1654" t="str">
        <f>""</f>
        <v/>
      </c>
      <c r="S1654" t="str">
        <f>""</f>
        <v/>
      </c>
      <c r="T1654" t="str">
        <f>"https://portaletrasparenza.consorziobacchiglione.it/dettagli/attodigara/94/fornitura-motore-elettrico-trifase-per-sostegno-biancolino-foglio-di-rete-inox-per-idrovora-madonetta-giunto-elastomero-per-nodo-di-tassia-e-paratoie-melina-di-corte.html"</f>
        <v>https://portaletrasparenza.consorziobacchiglione.it/dettagli/attodigara/94/fornitura-motore-elettrico-trifase-per-sostegno-biancolino-foglio-di-rete-inox-per-idrovora-madonetta-giunto-elastomero-per-nodo-di-tassia-e-paratoie-melina-di-corte.html</v>
      </c>
      <c r="U1654" t="str">
        <f>""</f>
        <v/>
      </c>
      <c r="V16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55" spans="1:22" x14ac:dyDescent="0.3">
      <c r="A1655" t="str">
        <f>"Affidamento"</f>
        <v>Affidamento</v>
      </c>
      <c r="B1655" t="str">
        <f>"Installazione stacca batterie su G.E. carrellati e mobili C.O.S.Margherita , ripristino fonoassorbente su cabina G.E. installato su canale di scarico Monte."</f>
        <v>Installazione stacca batterie su G.E. carrellati e mobili C.O.S.Margherita , ripristino fonoassorbente su cabina G.E. installato su canale di scarico Monte.</v>
      </c>
      <c r="C1655" t="str">
        <f>"Z48183A3FB"</f>
        <v>Z48183A3FB</v>
      </c>
      <c r="D1655" t="str">
        <f>"04/11/2021"</f>
        <v>04/11/2021</v>
      </c>
      <c r="E1655" t="str">
        <f>""</f>
        <v/>
      </c>
      <c r="F1655" t="str">
        <f>""</f>
        <v/>
      </c>
      <c r="G1655" t="str">
        <f>"1090.00"</f>
        <v>1090.00</v>
      </c>
      <c r="H1655" t="str">
        <f>"Consorzio di bonifica Bacchiglione"</f>
        <v>Consorzio di bonifica Bacchiglione</v>
      </c>
      <c r="I1655" t="str">
        <f>"92223390284"</f>
        <v>92223390284</v>
      </c>
      <c r="J1655" t="str">
        <f>"23-AFFIDAMENTO DIRETTO"</f>
        <v>23-AFFIDAMENTO DIRETTO</v>
      </c>
      <c r="K1655" t="str">
        <f>"27/01/2021"</f>
        <v>27/01/2021</v>
      </c>
      <c r="L1655" t="str">
        <f>"30/06/2021"</f>
        <v>30/06/2021</v>
      </c>
      <c r="M1655" t="str">
        <f>""</f>
        <v/>
      </c>
      <c r="N1655" t="str">
        <f>"TREE S.R.L. Via Rino Collodel 3 31020 San Pietro di Feletto TV"</f>
        <v>TREE S.R.L. Via Rino Collodel 3 31020 San Pietro di Feletto TV</v>
      </c>
      <c r="O1655" t="str">
        <f>"TREE S.R.L. Via Rino Collodel 3 31020 San Pietro di Feletto TV"</f>
        <v>TREE S.R.L. Via Rino Collodel 3 31020 San Pietro di Feletto TV</v>
      </c>
      <c r="P1655" t="str">
        <f>"Z48183A3FB: [1045.00€ ]"</f>
        <v>Z48183A3FB: [1045.00€ ]</v>
      </c>
      <c r="Q1655" t="str">
        <f>""</f>
        <v/>
      </c>
      <c r="R1655" t="str">
        <f>""</f>
        <v/>
      </c>
      <c r="S1655" t="str">
        <f>""</f>
        <v/>
      </c>
      <c r="T1655" t="str">
        <f>"https://portaletrasparenza.consorziobacchiglione.it/dettagli/attodigara/99/installazione-stacca-batterie-su-g-e-carrellati-e-mobili-c-o-s-margherita-ripristino-fonoassorbente-su-cabina-g-e-installato-su-canale-di-scarico-monte.html"</f>
        <v>https://portaletrasparenza.consorziobacchiglione.it/dettagli/attodigara/99/installazione-stacca-batterie-su-g-e-carrellati-e-mobili-c-o-s-margherita-ripristino-fonoassorbente-su-cabina-g-e-installato-su-canale-di-scarico-monte.html</v>
      </c>
      <c r="U1655" t="str">
        <f>""</f>
        <v/>
      </c>
      <c r="V1655">
        <f>(SUBSTITUTE(Tabella1[[#This Row],[Importo di aggiudicazione]],".",","))-(SUBSTITUTE(  SUBSTITUTE(          SUBSTITUTE(Tabella1[[#This Row],[Dettaglio somme liquidate]],Tabella1[[#This Row],[CIG]]&amp;": [",""),"€ ]",""),".",","))</f>
        <v>45</v>
      </c>
    </row>
    <row r="1656" spans="1:22" x14ac:dyDescent="0.3">
      <c r="A1656" t="str">
        <f>"Affidamento"</f>
        <v>Affidamento</v>
      </c>
      <c r="B1656" t="str">
        <f>"Riparazione testata decespugliatore del mezzo con targa: AKD221"</f>
        <v>Riparazione testata decespugliatore del mezzo con targa: AKD221</v>
      </c>
      <c r="C1656" t="str">
        <f>"Z3D3062DC4"</f>
        <v>Z3D3062DC4</v>
      </c>
      <c r="D1656" t="str">
        <f>"28/01/2021"</f>
        <v>28/01/2021</v>
      </c>
      <c r="E1656" t="str">
        <f>""</f>
        <v/>
      </c>
      <c r="F1656" t="str">
        <f>""</f>
        <v/>
      </c>
      <c r="G1656" t="str">
        <f>"2247.41"</f>
        <v>2247.41</v>
      </c>
      <c r="H1656" t="str">
        <f>"Consorzio di bonifica Bacchiglione"</f>
        <v>Consorzio di bonifica Bacchiglione</v>
      </c>
      <c r="I1656" t="str">
        <f>"92223390284"</f>
        <v>92223390284</v>
      </c>
      <c r="J1656" t="str">
        <f>"23-AFFIDAMENTO DIRETTO"</f>
        <v>23-AFFIDAMENTO DIRETTO</v>
      </c>
      <c r="K1656" t="str">
        <f>"27/01/2021"</f>
        <v>27/01/2021</v>
      </c>
      <c r="L1656" t="str">
        <f>"31/03/2021"</f>
        <v>31/03/2021</v>
      </c>
      <c r="M1656" t="str">
        <f>""</f>
        <v/>
      </c>
      <c r="N1656" t="str">
        <f>"Hymach s.r.l. Viale del Commercio 73 45039 Stienta RO"</f>
        <v>Hymach s.r.l. Viale del Commercio 73 45039 Stienta RO</v>
      </c>
      <c r="O1656" t="str">
        <f>"Hymach s.r.l. Viale del Commercio 73 45039 Stienta RO"</f>
        <v>Hymach s.r.l. Viale del Commercio 73 45039 Stienta RO</v>
      </c>
      <c r="P1656" t="str">
        <f>"Z3D3062DC4: [2247.41€ ]"</f>
        <v>Z3D3062DC4: [2247.41€ ]</v>
      </c>
      <c r="Q1656" t="str">
        <f>""</f>
        <v/>
      </c>
      <c r="R1656" t="str">
        <f>""</f>
        <v/>
      </c>
      <c r="S1656" t="str">
        <f>""</f>
        <v/>
      </c>
      <c r="T1656" t="str">
        <f>"https://portaletrasparenza.consorziobacchiglione.it/dettagli/attodigara/6589/riparazione-testata-decespugliatore-del-mezzo-con-targa-akd221.html"</f>
        <v>https://portaletrasparenza.consorziobacchiglione.it/dettagli/attodigara/6589/riparazione-testata-decespugliatore-del-mezzo-con-targa-akd221.html</v>
      </c>
      <c r="U1656" t="str">
        <f>"https://portaletrasparenza.consorziobacchiglione.it/download/attodigara/6589/63ac455191f99.PDF"</f>
        <v>https://portaletrasparenza.consorziobacchiglione.it/download/attodigara/6589/63ac455191f99.PDF</v>
      </c>
      <c r="V165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57" spans="1:22" x14ac:dyDescent="0.3">
      <c r="A1657" t="str">
        <f>"Affidamento"</f>
        <v>Affidamento</v>
      </c>
      <c r="B1657" t="str">
        <f>"Fornitura materiale elettrico per Idrovora di Lova."</f>
        <v>Fornitura materiale elettrico per Idrovora di Lova.</v>
      </c>
      <c r="C1657" t="str">
        <f>"Z53199C236"</f>
        <v>Z53199C236</v>
      </c>
      <c r="D1657" t="str">
        <f>"04/11/2021"</f>
        <v>04/11/2021</v>
      </c>
      <c r="E1657" t="str">
        <f>""</f>
        <v/>
      </c>
      <c r="F1657" t="str">
        <f>""</f>
        <v/>
      </c>
      <c r="G1657" t="str">
        <f>"1679.05"</f>
        <v>1679.05</v>
      </c>
      <c r="H1657" t="str">
        <f>"Consorzio di bonifica Bacchiglione"</f>
        <v>Consorzio di bonifica Bacchiglione</v>
      </c>
      <c r="I1657" t="str">
        <f>"92223390284"</f>
        <v>92223390284</v>
      </c>
      <c r="J1657" t="str">
        <f>"23-AFFIDAMENTO DIRETTO"</f>
        <v>23-AFFIDAMENTO DIRETTO</v>
      </c>
      <c r="K1657" t="str">
        <f>"27/04/2021"</f>
        <v>27/04/2021</v>
      </c>
      <c r="L1657" t="str">
        <f>"15/06/2021"</f>
        <v>15/06/2021</v>
      </c>
      <c r="M1657" t="str">
        <f>""</f>
        <v/>
      </c>
      <c r="N1657" t="str">
        <f>"Elettroveneta S.p.A. Viale della Navigazione Interna, 48 - 35129 Padova (PD) | Sonepar Italia Nord S.p.A. Riviera Maestri del lavoro 24 35127 Padova | Marchiol S.P.A. Viale della Repubblica 41 31020 sede legale Villorba TV"</f>
        <v>Elettroveneta S.p.A. Viale della Navigazione Interna, 48 - 35129 Padova (PD) | Sonepar Italia Nord S.p.A. Riviera Maestri del lavoro 24 35127 Padova | Marchiol S.P.A. Viale della Repubblica 41 31020 sede legale Villorba TV</v>
      </c>
      <c r="O1657" t="str">
        <f>"Sonepar Italia Nord S.p.A. Riviera Maestri del lavoro 24 35127 Padova"</f>
        <v>Sonepar Italia Nord S.p.A. Riviera Maestri del lavoro 24 35127 Padova</v>
      </c>
      <c r="P1657" t="str">
        <f>"Z53199C236: [1679.05€ ]"</f>
        <v>Z53199C236: [1679.05€ ]</v>
      </c>
      <c r="Q1657" t="str">
        <f>""</f>
        <v/>
      </c>
      <c r="R1657" t="str">
        <f>""</f>
        <v/>
      </c>
      <c r="S1657" t="str">
        <f>""</f>
        <v/>
      </c>
      <c r="T1657" t="str">
        <f>"https://portaletrasparenza.consorziobacchiglione.it/dettagli/attodigara/367/fornitura-materiale-elettrico-per-idrovora-di-lova.html"</f>
        <v>https://portaletrasparenza.consorziobacchiglione.it/dettagli/attodigara/367/fornitura-materiale-elettrico-per-idrovora-di-lova.html</v>
      </c>
      <c r="U1657" t="str">
        <f>""</f>
        <v/>
      </c>
      <c r="V165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58" spans="1:22" x14ac:dyDescent="0.3">
      <c r="A1658" t="str">
        <f>"Affidamento"</f>
        <v>Affidamento</v>
      </c>
      <c r="B1658" t="str">
        <f>"Manutenzione ,riparazione, lavaggio mezzi con targa: PDAH661, motopompa N6."</f>
        <v>Manutenzione ,riparazione, lavaggio mezzi con targa: PDAH661, motopompa N6.</v>
      </c>
      <c r="C1658" t="str">
        <f>"Z60199BAEE"</f>
        <v>Z60199BAEE</v>
      </c>
      <c r="D1658" t="str">
        <f>"04/11/2021"</f>
        <v>04/11/2021</v>
      </c>
      <c r="E1658" t="str">
        <f>""</f>
        <v/>
      </c>
      <c r="F1658" t="str">
        <f>""</f>
        <v/>
      </c>
      <c r="G1658" t="str">
        <f>"865.74"</f>
        <v>865.74</v>
      </c>
      <c r="H1658" t="str">
        <f>"Consorzio di bonifica Bacchiglione"</f>
        <v>Consorzio di bonifica Bacchiglione</v>
      </c>
      <c r="I1658" t="str">
        <f>"92223390284"</f>
        <v>92223390284</v>
      </c>
      <c r="J1658" t="str">
        <f>"23-AFFIDAMENTO DIRETTO"</f>
        <v>23-AFFIDAMENTO DIRETTO</v>
      </c>
      <c r="K1658" t="str">
        <f>"27/04/2021"</f>
        <v>27/04/2021</v>
      </c>
      <c r="L1658" t="str">
        <f>"30/06/2021"</f>
        <v>30/06/2021</v>
      </c>
      <c r="M1658" t="str">
        <f>""</f>
        <v/>
      </c>
      <c r="N1658" t="str">
        <f>"Officina Biesse S.n.c. Via Matteotti 24 35020 Arzergrande PD"</f>
        <v>Officina Biesse S.n.c. Via Matteotti 24 35020 Arzergrande PD</v>
      </c>
      <c r="O1658" t="str">
        <f>"Officina Biesse S.n.c. Via Matteotti 24 35020 Arzergrande PD"</f>
        <v>Officina Biesse S.n.c. Via Matteotti 24 35020 Arzergrande PD</v>
      </c>
      <c r="P1658" t="str">
        <f>"Z60199BAEE: [865.74€ ]"</f>
        <v>Z60199BAEE: [865.74€ ]</v>
      </c>
      <c r="Q1658" t="str">
        <f>""</f>
        <v/>
      </c>
      <c r="R1658" t="str">
        <f>""</f>
        <v/>
      </c>
      <c r="S1658" t="str">
        <f>""</f>
        <v/>
      </c>
      <c r="T1658" t="str">
        <f>"https://portaletrasparenza.consorziobacchiglione.it/dettagli/attodigara/366/manutenzione-riparazione-lavaggio-mezzi-con-targa-pdah661-motopompa-n6.html"</f>
        <v>https://portaletrasparenza.consorziobacchiglione.it/dettagli/attodigara/366/manutenzione-riparazione-lavaggio-mezzi-con-targa-pdah661-motopompa-n6.html</v>
      </c>
      <c r="U1658" t="str">
        <f>""</f>
        <v/>
      </c>
      <c r="V16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59" spans="1:22" x14ac:dyDescent="0.3">
      <c r="A1659" t="str">
        <f>"Affidamento"</f>
        <v>Affidamento</v>
      </c>
      <c r="B1659" t="str">
        <f>"Manutenzione e riparazione sgrigliatore dell' Idrovora S.Lazzaro."</f>
        <v>Manutenzione e riparazione sgrigliatore dell' Idrovora S.Lazzaro.</v>
      </c>
      <c r="C1659" t="str">
        <f>"Z56199B937"</f>
        <v>Z56199B937</v>
      </c>
      <c r="D1659" t="str">
        <f>"04/11/2021"</f>
        <v>04/11/2021</v>
      </c>
      <c r="E1659" t="str">
        <f>""</f>
        <v/>
      </c>
      <c r="F1659" t="str">
        <f>""</f>
        <v/>
      </c>
      <c r="G1659" t="str">
        <f>"995.00"</f>
        <v>995.00</v>
      </c>
      <c r="H1659" t="str">
        <f>"Consorzio di bonifica Bacchiglione"</f>
        <v>Consorzio di bonifica Bacchiglione</v>
      </c>
      <c r="I1659" t="str">
        <f>"92223390284"</f>
        <v>92223390284</v>
      </c>
      <c r="J1659" t="str">
        <f>"23-AFFIDAMENTO DIRETTO"</f>
        <v>23-AFFIDAMENTO DIRETTO</v>
      </c>
      <c r="K1659" t="str">
        <f>"27/04/2021"</f>
        <v>27/04/2021</v>
      </c>
      <c r="L1659" t="str">
        <f>"30/06/2021"</f>
        <v>30/06/2021</v>
      </c>
      <c r="M1659" t="str">
        <f>""</f>
        <v/>
      </c>
      <c r="N1659" t="str">
        <f>"Officina Biesse S.n.c. Via Matteotti 24 35020 Arzergrande PD"</f>
        <v>Officina Biesse S.n.c. Via Matteotti 24 35020 Arzergrande PD</v>
      </c>
      <c r="O1659" t="str">
        <f>"Officina Biesse S.n.c. Via Matteotti 24 35020 Arzergrande PD"</f>
        <v>Officina Biesse S.n.c. Via Matteotti 24 35020 Arzergrande PD</v>
      </c>
      <c r="P1659" t="str">
        <f>"Z56199B937: [995.00€ ]"</f>
        <v>Z56199B937: [995.00€ ]</v>
      </c>
      <c r="Q1659" t="str">
        <f>""</f>
        <v/>
      </c>
      <c r="R1659" t="str">
        <f>""</f>
        <v/>
      </c>
      <c r="S1659" t="str">
        <f>""</f>
        <v/>
      </c>
      <c r="T1659" t="str">
        <f>"https://portaletrasparenza.consorziobacchiglione.it/dettagli/attodigara/365/manutenzione-e-riparazione-sgrigliatore-dell-idrovora-s-lazzaro.html"</f>
        <v>https://portaletrasparenza.consorziobacchiglione.it/dettagli/attodigara/365/manutenzione-e-riparazione-sgrigliatore-dell-idrovora-s-lazzaro.html</v>
      </c>
      <c r="U1659" t="str">
        <f>""</f>
        <v/>
      </c>
      <c r="V165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60" spans="1:22" x14ac:dyDescent="0.3">
      <c r="A1660" t="str">
        <f>"Affidamento"</f>
        <v>Affidamento</v>
      </c>
      <c r="B1660" t="str">
        <f>"Manutenzione e riparazione G.E. dell'Idrovora Baldon e Vaso Cavaizze."</f>
        <v>Manutenzione e riparazione G.E. dell'Idrovora Baldon e Vaso Cavaizze.</v>
      </c>
      <c r="C1660" t="str">
        <f>"Z07199B788"</f>
        <v>Z07199B788</v>
      </c>
      <c r="D1660" t="str">
        <f>"04/11/2021"</f>
        <v>04/11/2021</v>
      </c>
      <c r="E1660" t="str">
        <f>""</f>
        <v/>
      </c>
      <c r="F1660" t="str">
        <f>""</f>
        <v/>
      </c>
      <c r="G1660" t="str">
        <f>"1169.00"</f>
        <v>1169.00</v>
      </c>
      <c r="H1660" t="str">
        <f>"Consorzio di bonifica Bacchiglione"</f>
        <v>Consorzio di bonifica Bacchiglione</v>
      </c>
      <c r="I1660" t="str">
        <f>"92223390284"</f>
        <v>92223390284</v>
      </c>
      <c r="J1660" t="str">
        <f>"23-AFFIDAMENTO DIRETTO"</f>
        <v>23-AFFIDAMENTO DIRETTO</v>
      </c>
      <c r="K1660" t="str">
        <f>"27/04/2021"</f>
        <v>27/04/2021</v>
      </c>
      <c r="L1660" t="str">
        <f>"30/06/2021"</f>
        <v>30/06/2021</v>
      </c>
      <c r="M1660" t="str">
        <f>""</f>
        <v/>
      </c>
      <c r="N1660" t="str">
        <f>"Officina Biesse S.n.c. Via Matteotti 24 35020 Arzergrande PD"</f>
        <v>Officina Biesse S.n.c. Via Matteotti 24 35020 Arzergrande PD</v>
      </c>
      <c r="O1660" t="str">
        <f>"Officina Biesse S.n.c. Via Matteotti 24 35020 Arzergrande PD"</f>
        <v>Officina Biesse S.n.c. Via Matteotti 24 35020 Arzergrande PD</v>
      </c>
      <c r="P1660" t="str">
        <f>"Z07199B788: [1169.00€ ]"</f>
        <v>Z07199B788: [1169.00€ ]</v>
      </c>
      <c r="Q1660" t="str">
        <f>""</f>
        <v/>
      </c>
      <c r="R1660" t="str">
        <f>""</f>
        <v/>
      </c>
      <c r="S1660" t="str">
        <f>""</f>
        <v/>
      </c>
      <c r="T1660" t="str">
        <f>"https://portaletrasparenza.consorziobacchiglione.it/dettagli/attodigara/364/manutenzione-e-riparazione-g-e-dell-idrovora-baldon-e-vaso-cavaizze.html"</f>
        <v>https://portaletrasparenza.consorziobacchiglione.it/dettagli/attodigara/364/manutenzione-e-riparazione-g-e-dell-idrovora-baldon-e-vaso-cavaizze.html</v>
      </c>
      <c r="U1660" t="str">
        <f>""</f>
        <v/>
      </c>
      <c r="V16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61" spans="1:22" x14ac:dyDescent="0.3">
      <c r="A1661" t="str">
        <f>"Affidamento"</f>
        <v>Affidamento</v>
      </c>
      <c r="B1661" t="str">
        <f>"Noleggio escavatore da 90 Q. per lavoro sostegno zip e noleggio miniescavatore 30 Q. per lavoro scolo Moraro."</f>
        <v>Noleggio escavatore da 90 Q. per lavoro sostegno zip e noleggio miniescavatore 30 Q. per lavoro scolo Moraro.</v>
      </c>
      <c r="C1661" t="str">
        <f>"Z3F199B4FA"</f>
        <v>Z3F199B4FA</v>
      </c>
      <c r="D1661" t="str">
        <f>"04/11/2021"</f>
        <v>04/11/2021</v>
      </c>
      <c r="E1661" t="str">
        <f>""</f>
        <v/>
      </c>
      <c r="F1661" t="str">
        <f>""</f>
        <v/>
      </c>
      <c r="G1661" t="str">
        <f>"2100.00"</f>
        <v>2100.00</v>
      </c>
      <c r="H1661" t="str">
        <f>"Consorzio di bonifica Bacchiglione"</f>
        <v>Consorzio di bonifica Bacchiglione</v>
      </c>
      <c r="I1661" t="str">
        <f>"92223390284"</f>
        <v>92223390284</v>
      </c>
      <c r="J1661" t="str">
        <f>"23-AFFIDAMENTO DIRETTO"</f>
        <v>23-AFFIDAMENTO DIRETTO</v>
      </c>
      <c r="K1661" t="str">
        <f>"27/04/2021"</f>
        <v>27/04/2021</v>
      </c>
      <c r="L1661" t="str">
        <f>"26/05/2021"</f>
        <v>26/05/2021</v>
      </c>
      <c r="M1661" t="str">
        <f>""</f>
        <v/>
      </c>
      <c r="N1661" t="str">
        <f>"Sorme Noleggi s.a.s. Via Monache 21 35030 Selvazzano Dentro PD"</f>
        <v>Sorme Noleggi s.a.s. Via Monache 21 35030 Selvazzano Dentro PD</v>
      </c>
      <c r="O1661" t="str">
        <f>"Sorme Noleggi s.a.s. Via Monache 21 35030 Selvazzano Dentro PD"</f>
        <v>Sorme Noleggi s.a.s. Via Monache 21 35030 Selvazzano Dentro PD</v>
      </c>
      <c r="P1661" t="str">
        <f>"Z3F199B4FA: [2100.00€ ]"</f>
        <v>Z3F199B4FA: [2100.00€ ]</v>
      </c>
      <c r="Q1661" t="str">
        <f>""</f>
        <v/>
      </c>
      <c r="R1661" t="str">
        <f>""</f>
        <v/>
      </c>
      <c r="S1661" t="str">
        <f>""</f>
        <v/>
      </c>
      <c r="T1661" t="str">
        <f>"https://portaletrasparenza.consorziobacchiglione.it/dettagli/attodigara/363/noleggio-escavatore-da-90-q-per-lavoro-sostegno-zip-e-noleggio-miniescavatore-30-q-per-lavoro-scolo-moraro.html"</f>
        <v>https://portaletrasparenza.consorziobacchiglione.it/dettagli/attodigara/363/noleggio-escavatore-da-90-q-per-lavoro-sostegno-zip-e-noleggio-miniescavatore-30-q-per-lavoro-scolo-moraro.html</v>
      </c>
      <c r="U1661" t="str">
        <f>""</f>
        <v/>
      </c>
      <c r="V166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62" spans="1:22" x14ac:dyDescent="0.3">
      <c r="A1662" t="str">
        <f>"Affidamento"</f>
        <v>Affidamento</v>
      </c>
      <c r="B1662" t="str">
        <f>"2^ Stazione di Sollevamento - lavori di fornitura e posa di Impianto di messa a terra mediante collegamenti di equipotenzialità alle masse esterne relativamente a grigliati di copertura tubazioni di scarico, agli infiss"</f>
        <v>2^ Stazione di Sollevamento - lavori di fornitura e posa di Impianto di messa a terra mediante collegamenti di equipotenzialità alle masse esterne relativamente a grigliati di copertura tubazioni di scarico, agli infiss</v>
      </c>
      <c r="C1662" t="str">
        <f>"Z49199984C"</f>
        <v>Z49199984C</v>
      </c>
      <c r="D1662" t="str">
        <f>"04/11/2021"</f>
        <v>04/11/2021</v>
      </c>
      <c r="E1662" t="str">
        <f>""</f>
        <v/>
      </c>
      <c r="F1662" t="str">
        <f>""</f>
        <v/>
      </c>
      <c r="G1662" t="str">
        <f>"21902.85"</f>
        <v>21902.85</v>
      </c>
      <c r="H1662" t="str">
        <f>"Consorzio di bonifica Bacchiglione"</f>
        <v>Consorzio di bonifica Bacchiglione</v>
      </c>
      <c r="I1662" t="str">
        <f>"92223390284"</f>
        <v>92223390284</v>
      </c>
      <c r="J1662" t="str">
        <f>"23-AFFIDAMENTO DIRETTO"</f>
        <v>23-AFFIDAMENTO DIRETTO</v>
      </c>
      <c r="K1662" t="str">
        <f>"27/04/2021"</f>
        <v>27/04/2021</v>
      </c>
      <c r="L1662" t="str">
        <f>"22/11/2021"</f>
        <v>22/11/2021</v>
      </c>
      <c r="M1662" t="str">
        <f>""</f>
        <v/>
      </c>
      <c r="N1662" t="str">
        <f>"Picello s.r.l."</f>
        <v>Picello s.r.l.</v>
      </c>
      <c r="O1662" t="str">
        <f>"Picello s.r.l."</f>
        <v>Picello s.r.l.</v>
      </c>
      <c r="P1662" t="str">
        <f>"Z49199984C: [16952.14€ ]"</f>
        <v>Z49199984C: [16952.14€ ]</v>
      </c>
      <c r="Q1662" t="str">
        <f>""</f>
        <v/>
      </c>
      <c r="R1662" t="str">
        <f>""</f>
        <v/>
      </c>
      <c r="S1662" t="str">
        <f>""</f>
        <v/>
      </c>
      <c r="T1662" t="s">
        <v>49</v>
      </c>
      <c r="U1662" t="str">
        <f>""</f>
        <v/>
      </c>
      <c r="V1662">
        <f>(SUBSTITUTE(Tabella1[[#This Row],[Importo di aggiudicazione]],".",","))-(SUBSTITUTE(  SUBSTITUTE(          SUBSTITUTE(Tabella1[[#This Row],[Dettaglio somme liquidate]],Tabella1[[#This Row],[CIG]]&amp;": [",""),"€ ]",""),".",","))</f>
        <v>4950.7099999999991</v>
      </c>
    </row>
    <row r="1663" spans="1:22" x14ac:dyDescent="0.3">
      <c r="A1663" t="str">
        <f>"Affidamento"</f>
        <v>Affidamento</v>
      </c>
      <c r="B1663" t="str">
        <f>"Inversione pneumatici su mezzo targato: FZ296XV"</f>
        <v>Inversione pneumatici su mezzo targato: FZ296XV</v>
      </c>
      <c r="C1663" t="str">
        <f>"ZEE3181FE8"</f>
        <v>ZEE3181FE8</v>
      </c>
      <c r="D1663" t="str">
        <f>"27/04/2021"</f>
        <v>27/04/2021</v>
      </c>
      <c r="E1663" t="str">
        <f>""</f>
        <v/>
      </c>
      <c r="F1663" t="str">
        <f>""</f>
        <v/>
      </c>
      <c r="G1663" t="str">
        <f>"30.00"</f>
        <v>30.00</v>
      </c>
      <c r="H1663" t="str">
        <f>"Consorzio di bonifica Bacchiglione"</f>
        <v>Consorzio di bonifica Bacchiglione</v>
      </c>
      <c r="I1663" t="str">
        <f>"92223390284"</f>
        <v>92223390284</v>
      </c>
      <c r="J1663" t="str">
        <f>"23-AFFIDAMENTO DIRETTO"</f>
        <v>23-AFFIDAMENTO DIRETTO</v>
      </c>
      <c r="K1663" t="str">
        <f>"27/04/2021"</f>
        <v>27/04/2021</v>
      </c>
      <c r="L1663" t="str">
        <f>"30/04/2021"</f>
        <v>30/04/2021</v>
      </c>
      <c r="M1663" t="str">
        <f>""</f>
        <v/>
      </c>
      <c r="N1663" t="str">
        <f>"Ri.gom.ma S.R.L. Via Orlando, 47 - 30173 Campalto (VE)"</f>
        <v>Ri.gom.ma S.R.L. Via Orlando, 47 - 30173 Campalto (VE)</v>
      </c>
      <c r="O1663" t="str">
        <f>"Ri.gom.ma S.R.L. Via Orlando, 47 - 30173 Campalto (VE)"</f>
        <v>Ri.gom.ma S.R.L. Via Orlando, 47 - 30173 Campalto (VE)</v>
      </c>
      <c r="P1663" t="str">
        <f>"ZEE3181FE8: [30.00€ ]"</f>
        <v>ZEE3181FE8: [30.00€ ]</v>
      </c>
      <c r="Q1663" t="str">
        <f>""</f>
        <v/>
      </c>
      <c r="R1663" t="str">
        <f>""</f>
        <v/>
      </c>
      <c r="S1663" t="str">
        <f>""</f>
        <v/>
      </c>
      <c r="T1663" t="str">
        <f>"https://portaletrasparenza.consorziobacchiglione.it/dettagli/attodigara/6831/inversione-pneumatici-su-mezzo-targato-fz296xv.html"</f>
        <v>https://portaletrasparenza.consorziobacchiglione.it/dettagli/attodigara/6831/inversione-pneumatici-su-mezzo-targato-fz296xv.html</v>
      </c>
      <c r="U1663" t="str">
        <f>"https://portaletrasparenza.consorziobacchiglione.it/download/attodigara/6831/63ac4584cd26e.PDF"</f>
        <v>https://portaletrasparenza.consorziobacchiglione.it/download/attodigara/6831/63ac4584cd26e.PDF</v>
      </c>
      <c r="V16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64" spans="1:22" x14ac:dyDescent="0.3">
      <c r="A1664" t="str">
        <f>"Affidamento"</f>
        <v>Affidamento</v>
      </c>
      <c r="B1664" t="str">
        <f>"Fornitura n. 5 valvola Anticavitazione VGB 1/2 e n. 5 valvola Anticavitazione VAD 1/2 per circuito valvola del vuoto presso Impianti Bacino Sesta Presa"</f>
        <v>Fornitura n. 5 valvola Anticavitazione VGB 1/2 e n. 5 valvola Anticavitazione VAD 1/2 per circuito valvola del vuoto presso Impianti Bacino Sesta Presa</v>
      </c>
      <c r="C1664" t="str">
        <f>"ZC831807F0"</f>
        <v>ZC831807F0</v>
      </c>
      <c r="D1664" t="str">
        <f>"27/04/2021"</f>
        <v>27/04/2021</v>
      </c>
      <c r="E1664" t="str">
        <f>""</f>
        <v/>
      </c>
      <c r="F1664" t="str">
        <f>""</f>
        <v/>
      </c>
      <c r="G1664" t="str">
        <f>"620.50"</f>
        <v>620.50</v>
      </c>
      <c r="H1664" t="str">
        <f>"Consorzio di bonifica Bacchiglione"</f>
        <v>Consorzio di bonifica Bacchiglione</v>
      </c>
      <c r="I1664" t="str">
        <f>"92223390284"</f>
        <v>92223390284</v>
      </c>
      <c r="J1664" t="str">
        <f>"23-AFFIDAMENTO DIRETTO"</f>
        <v>23-AFFIDAMENTO DIRETTO</v>
      </c>
      <c r="K1664" t="str">
        <f>"27/04/2021"</f>
        <v>27/04/2021</v>
      </c>
      <c r="L1664" t="str">
        <f>"30/04/2021"</f>
        <v>30/04/2021</v>
      </c>
      <c r="M1664" t="str">
        <f>""</f>
        <v/>
      </c>
      <c r="N1664" t="str">
        <f>"Scarpa Sergio Elettromeccanica S.n.c. di Scarpa Paola E C. Via A. Vivaldi 7 35028 Piove di Sacco PD"</f>
        <v>Scarpa Sergio Elettromeccanica S.n.c. di Scarpa Paola E C. Via A. Vivaldi 7 35028 Piove di Sacco PD</v>
      </c>
      <c r="O1664" t="str">
        <f>"Scarpa Sergio Elettromeccanica S.n.c. di Scarpa Paola E C. Via A. Vivaldi 7 35028 Piove di Sacco PD"</f>
        <v>Scarpa Sergio Elettromeccanica S.n.c. di Scarpa Paola E C. Via A. Vivaldi 7 35028 Piove di Sacco PD</v>
      </c>
      <c r="P1664" t="str">
        <f>"ZC831807F0: [620.50€ ]"</f>
        <v>ZC831807F0: [620.50€ ]</v>
      </c>
      <c r="Q1664" t="str">
        <f>""</f>
        <v/>
      </c>
      <c r="R1664" t="str">
        <f>""</f>
        <v/>
      </c>
      <c r="S1664" t="str">
        <f>""</f>
        <v/>
      </c>
      <c r="T1664" t="str">
        <f>"https://portaletrasparenza.consorziobacchiglione.it/dettagli/attodigara/6830/fornitura-n-5-valvola-anticavitazione-vgb-1-2-e-n-5-valvola-anticavitazione-vad-1-2-per-circuito-valvola-del-vuoto-presso-impianti-bacino-sesta-presa.html"</f>
        <v>https://portaletrasparenza.consorziobacchiglione.it/dettagli/attodigara/6830/fornitura-n-5-valvola-anticavitazione-vgb-1-2-e-n-5-valvola-anticavitazione-vad-1-2-per-circuito-valvola-del-vuoto-presso-impianti-bacino-sesta-presa.html</v>
      </c>
      <c r="U1664" t="str">
        <f>"https://portaletrasparenza.consorziobacchiglione.it/download/attodigara/6830/63ac458494c50.PDF"</f>
        <v>https://portaletrasparenza.consorziobacchiglione.it/download/attodigara/6830/63ac458494c50.PDF</v>
      </c>
      <c r="V16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65" spans="1:22" x14ac:dyDescent="0.3">
      <c r="A1665" t="str">
        <f>"Affidamento"</f>
        <v>Affidamento</v>
      </c>
      <c r="B1665" t="str">
        <f>"Manutenzione G.E presso Idrovora di Bovolenta"</f>
        <v>Manutenzione G.E presso Idrovora di Bovolenta</v>
      </c>
      <c r="C1665" t="str">
        <f>"Z843185E85"</f>
        <v>Z843185E85</v>
      </c>
      <c r="D1665" t="str">
        <f>"29/04/2021"</f>
        <v>29/04/2021</v>
      </c>
      <c r="E1665" t="str">
        <f>""</f>
        <v/>
      </c>
      <c r="F1665" t="str">
        <f>""</f>
        <v/>
      </c>
      <c r="G1665" t="str">
        <f>"371.10"</f>
        <v>371.10</v>
      </c>
      <c r="H1665" t="str">
        <f>"Consorzio di bonifica Bacchiglione"</f>
        <v>Consorzio di bonifica Bacchiglione</v>
      </c>
      <c r="I1665" t="str">
        <f>"92223390284"</f>
        <v>92223390284</v>
      </c>
      <c r="J1665" t="str">
        <f>"23-AFFIDAMENTO DIRETTO"</f>
        <v>23-AFFIDAMENTO DIRETTO</v>
      </c>
      <c r="K1665" t="str">
        <f>"27/04/2021"</f>
        <v>27/04/2021</v>
      </c>
      <c r="L1665" t="str">
        <f>"21/05/2021"</f>
        <v>21/05/2021</v>
      </c>
      <c r="M1665" t="str">
        <f>""</f>
        <v/>
      </c>
      <c r="N1665" t="str">
        <f>"Italmotori S.r.l. Corso Milano 83 35139 Padova"</f>
        <v>Italmotori S.r.l. Corso Milano 83 35139 Padova</v>
      </c>
      <c r="O1665" t="str">
        <f>"Italmotori S.r.l. Corso Milano 83 35139 Padova"</f>
        <v>Italmotori S.r.l. Corso Milano 83 35139 Padova</v>
      </c>
      <c r="P1665" t="str">
        <f>"Z843185E85: [371.10€ ]"</f>
        <v>Z843185E85: [371.10€ ]</v>
      </c>
      <c r="Q1665" t="str">
        <f>""</f>
        <v/>
      </c>
      <c r="R1665" t="str">
        <f>""</f>
        <v/>
      </c>
      <c r="S1665" t="str">
        <f>""</f>
        <v/>
      </c>
      <c r="T1665" t="str">
        <f>"https://portaletrasparenza.consorziobacchiglione.it/dettagli/attodigara/6833/manutenzione-g-e-presso-idrovora-di-bovolenta.html"</f>
        <v>https://portaletrasparenza.consorziobacchiglione.it/dettagli/attodigara/6833/manutenzione-g-e-presso-idrovora-di-bovolenta.html</v>
      </c>
      <c r="U1665" t="str">
        <f>"https://portaletrasparenza.consorziobacchiglione.it/download/attodigara/6833/63ac458549d86.PDF"</f>
        <v>https://portaletrasparenza.consorziobacchiglione.it/download/attodigara/6833/63ac458549d86.PDF</v>
      </c>
      <c r="V16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66" spans="1:22" x14ac:dyDescent="0.3">
      <c r="A1666" t="str">
        <f>"Affidamento"</f>
        <v>Affidamento</v>
      </c>
      <c r="B1666" t="str">
        <f>"Rifacimento tubazioni pompe del vuoto presso Idrovora Bernio"</f>
        <v>Rifacimento tubazioni pompe del vuoto presso Idrovora Bernio</v>
      </c>
      <c r="C1666" t="str">
        <f>"Z663183FE2"</f>
        <v>Z663183FE2</v>
      </c>
      <c r="D1666" t="str">
        <f>"29/04/2021"</f>
        <v>29/04/2021</v>
      </c>
      <c r="E1666" t="str">
        <f>""</f>
        <v/>
      </c>
      <c r="F1666" t="str">
        <f>""</f>
        <v/>
      </c>
      <c r="G1666" t="str">
        <f>"9850.00"</f>
        <v>9850.00</v>
      </c>
      <c r="H1666" t="str">
        <f>"Consorzio di bonifica Bacchiglione"</f>
        <v>Consorzio di bonifica Bacchiglione</v>
      </c>
      <c r="I1666" t="str">
        <f>"92223390284"</f>
        <v>92223390284</v>
      </c>
      <c r="J1666" t="str">
        <f>"23-AFFIDAMENTO DIRETTO"</f>
        <v>23-AFFIDAMENTO DIRETTO</v>
      </c>
      <c r="K1666" t="str">
        <f>"27/04/2021"</f>
        <v>27/04/2021</v>
      </c>
      <c r="L1666" t="str">
        <f>"23/02/2022"</f>
        <v>23/02/2022</v>
      </c>
      <c r="M1666" t="str">
        <f>""</f>
        <v/>
      </c>
      <c r="N1666" t="str">
        <f>"Giraldo Impianti SNC di Giraldo Danilo e Silvio Via Flli Cervi 1-II 30010 Campolongo Maggiore VE"</f>
        <v>Giraldo Impianti SNC di Giraldo Danilo e Silvio Via Flli Cervi 1-II 30010 Campolongo Maggiore VE</v>
      </c>
      <c r="O1666" t="str">
        <f>"Giraldo Impianti SNC di Giraldo Danilo e Silvio Via Flli Cervi 1-II 30010 Campolongo Maggiore VE"</f>
        <v>Giraldo Impianti SNC di Giraldo Danilo e Silvio Via Flli Cervi 1-II 30010 Campolongo Maggiore VE</v>
      </c>
      <c r="P1666" t="str">
        <f>"Z663183FE2: [9850.00€ ]"</f>
        <v>Z663183FE2: [9850.00€ ]</v>
      </c>
      <c r="Q1666" t="str">
        <f>""</f>
        <v/>
      </c>
      <c r="R1666" t="str">
        <f>""</f>
        <v/>
      </c>
      <c r="S1666" t="str">
        <f>""</f>
        <v/>
      </c>
      <c r="T1666" t="str">
        <f>"https://portaletrasparenza.consorziobacchiglione.it/dettagli/attodigara/6832/rifacimento-tubazioni-pompe-del-vuoto-presso-idrovora-bernio.html"</f>
        <v>https://portaletrasparenza.consorziobacchiglione.it/dettagli/attodigara/6832/rifacimento-tubazioni-pompe-del-vuoto-presso-idrovora-bernio.html</v>
      </c>
      <c r="U1666" t="str">
        <f>"https://portaletrasparenza.consorziobacchiglione.it/download/attodigara/6832/63ac4585117b0.PDF"</f>
        <v>https://portaletrasparenza.consorziobacchiglione.it/download/attodigara/6832/63ac4585117b0.PDF</v>
      </c>
      <c r="V166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67" spans="1:22" x14ac:dyDescent="0.3">
      <c r="A1667" t="str">
        <f>"Affidamento"</f>
        <v>Affidamento</v>
      </c>
      <c r="B1667" t="str">
        <f>"Ritiro cassone scarrabile con autocarro scolo Valli."</f>
        <v>Ritiro cassone scarrabile con autocarro scolo Valli.</v>
      </c>
      <c r="C1667" t="str">
        <f>"Z941A10EDB"</f>
        <v>Z941A10EDB</v>
      </c>
      <c r="D1667" t="str">
        <f>"04/11/2021"</f>
        <v>04/11/2021</v>
      </c>
      <c r="E1667" t="str">
        <f>""</f>
        <v/>
      </c>
      <c r="F1667" t="str">
        <f>""</f>
        <v/>
      </c>
      <c r="G1667" t="str">
        <f>"280.00"</f>
        <v>280.00</v>
      </c>
      <c r="H1667" t="str">
        <f>"Consorzio di bonifica Bacchiglione"</f>
        <v>Consorzio di bonifica Bacchiglione</v>
      </c>
      <c r="I1667" t="str">
        <f>"92223390284"</f>
        <v>92223390284</v>
      </c>
      <c r="J1667" t="str">
        <f>"23-AFFIDAMENTO DIRETTO"</f>
        <v>23-AFFIDAMENTO DIRETTO</v>
      </c>
      <c r="K1667" t="str">
        <f>"27/05/2021"</f>
        <v>27/05/2021</v>
      </c>
      <c r="L1667" t="str">
        <f>"04/07/2021"</f>
        <v>04/07/2021</v>
      </c>
      <c r="M1667" t="str">
        <f>""</f>
        <v/>
      </c>
      <c r="N1667" t="str">
        <f>"Zagolin Giovanni s.n.c via Boresse 5 35028 Piove di Sacco PD"</f>
        <v>Zagolin Giovanni s.n.c via Boresse 5 35028 Piove di Sacco PD</v>
      </c>
      <c r="O1667" t="str">
        <f>"Zagolin Giovanni s.n.c via Boresse 5 35028 Piove di Sacco PD"</f>
        <v>Zagolin Giovanni s.n.c via Boresse 5 35028 Piove di Sacco PD</v>
      </c>
      <c r="P1667" t="str">
        <f>"Z941A10EDB: [280.00€ ]"</f>
        <v>Z941A10EDB: [280.00€ ]</v>
      </c>
      <c r="Q1667" t="str">
        <f>""</f>
        <v/>
      </c>
      <c r="R1667" t="str">
        <f>""</f>
        <v/>
      </c>
      <c r="S1667" t="str">
        <f>""</f>
        <v/>
      </c>
      <c r="T1667" t="str">
        <f>"https://portaletrasparenza.consorziobacchiglione.it/dettagli/attodigara/476/ritiro-cassone-scarrabile-con-autocarro-scolo-valli.html"</f>
        <v>https://portaletrasparenza.consorziobacchiglione.it/dettagli/attodigara/476/ritiro-cassone-scarrabile-con-autocarro-scolo-valli.html</v>
      </c>
      <c r="U1667" t="str">
        <f>""</f>
        <v/>
      </c>
      <c r="V166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68" spans="1:22" x14ac:dyDescent="0.3">
      <c r="A1668" t="str">
        <f>"Affidamento"</f>
        <v>Affidamento</v>
      </c>
      <c r="B1668" t="str">
        <f>"Riparazione e manutenzione escavatore con targa: AGK711."</f>
        <v>Riparazione e manutenzione escavatore con targa: AGK711.</v>
      </c>
      <c r="C1668" t="str">
        <f>"ZC01A10DF8"</f>
        <v>ZC01A10DF8</v>
      </c>
      <c r="D1668" t="str">
        <f>"04/11/2021"</f>
        <v>04/11/2021</v>
      </c>
      <c r="E1668" t="str">
        <f>""</f>
        <v/>
      </c>
      <c r="F1668" t="str">
        <f>""</f>
        <v/>
      </c>
      <c r="G1668" t="str">
        <f>"1311.51"</f>
        <v>1311.51</v>
      </c>
      <c r="H1668" t="str">
        <f>"Consorzio di bonifica Bacchiglione"</f>
        <v>Consorzio di bonifica Bacchiglione</v>
      </c>
      <c r="I1668" t="str">
        <f>"92223390284"</f>
        <v>92223390284</v>
      </c>
      <c r="J1668" t="str">
        <f>"23-AFFIDAMENTO DIRETTO"</f>
        <v>23-AFFIDAMENTO DIRETTO</v>
      </c>
      <c r="K1668" t="str">
        <f>"27/05/2021"</f>
        <v>27/05/2021</v>
      </c>
      <c r="L1668" t="str">
        <f>"11/07/2021"</f>
        <v>11/07/2021</v>
      </c>
      <c r="M1668" t="str">
        <f>""</f>
        <v/>
      </c>
      <c r="N1668" t="str">
        <f>"Adriatica Commerciale Macchine s.r.l. Via dell'Artigianato 5 35020 Due Carrare PD"</f>
        <v>Adriatica Commerciale Macchine s.r.l. Via dell'Artigianato 5 35020 Due Carrare PD</v>
      </c>
      <c r="O1668" t="str">
        <f>"Adriatica Commerciale Macchine s.r.l. Via dell'Artigianato 5 35020 Due Carrare PD"</f>
        <v>Adriatica Commerciale Macchine s.r.l. Via dell'Artigianato 5 35020 Due Carrare PD</v>
      </c>
      <c r="P1668" t="str">
        <f>"ZC01A10DF8: [1311.51€ ]"</f>
        <v>ZC01A10DF8: [1311.51€ ]</v>
      </c>
      <c r="Q1668" t="str">
        <f>""</f>
        <v/>
      </c>
      <c r="R1668" t="str">
        <f>""</f>
        <v/>
      </c>
      <c r="S1668" t="str">
        <f>""</f>
        <v/>
      </c>
      <c r="T1668" t="str">
        <f>"https://portaletrasparenza.consorziobacchiglione.it/dettagli/attodigara/475/riparazione-e-manutenzione-escavatore-con-targa-agk711.html"</f>
        <v>https://portaletrasparenza.consorziobacchiglione.it/dettagli/attodigara/475/riparazione-e-manutenzione-escavatore-con-targa-agk711.html</v>
      </c>
      <c r="U1668" t="str">
        <f>""</f>
        <v/>
      </c>
      <c r="V16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69" spans="1:22" x14ac:dyDescent="0.3">
      <c r="A1669" t="str">
        <f>"Affidamento"</f>
        <v>Affidamento</v>
      </c>
      <c r="B1669" t="str">
        <f>"Fornitura materiale edile per Canalette irrigue Delta Brenta."</f>
        <v>Fornitura materiale edile per Canalette irrigue Delta Brenta.</v>
      </c>
      <c r="C1669" t="str">
        <f>"Z961A10C74"</f>
        <v>Z961A10C74</v>
      </c>
      <c r="D1669" t="str">
        <f>"04/11/2021"</f>
        <v>04/11/2021</v>
      </c>
      <c r="E1669" t="str">
        <f>""</f>
        <v/>
      </c>
      <c r="F1669" t="str">
        <f>""</f>
        <v/>
      </c>
      <c r="G1669" t="str">
        <f>"811.00"</f>
        <v>811.00</v>
      </c>
      <c r="H1669" t="str">
        <f>"Consorzio di bonifica Bacchiglione"</f>
        <v>Consorzio di bonifica Bacchiglione</v>
      </c>
      <c r="I1669" t="str">
        <f>"92223390284"</f>
        <v>92223390284</v>
      </c>
      <c r="J1669" t="str">
        <f>"23-AFFIDAMENTO DIRETTO"</f>
        <v>23-AFFIDAMENTO DIRETTO</v>
      </c>
      <c r="K1669" t="str">
        <f>"27/05/2021"</f>
        <v>27/05/2021</v>
      </c>
      <c r="L1669" t="str">
        <f>"18/07/2021"</f>
        <v>18/07/2021</v>
      </c>
      <c r="M1669" t="str">
        <f>""</f>
        <v/>
      </c>
      <c r="N1669" t="str">
        <f>"Gollo Giovanni Via Vallona 65 35020 Conche di Codevigo PD"</f>
        <v>Gollo Giovanni Via Vallona 65 35020 Conche di Codevigo PD</v>
      </c>
      <c r="O1669" t="str">
        <f>"Gollo Giovanni Via Vallona 65 35020 Conche di Codevigo PD"</f>
        <v>Gollo Giovanni Via Vallona 65 35020 Conche di Codevigo PD</v>
      </c>
      <c r="P1669" t="str">
        <f>"Z961A10C74: [811.00€ ]"</f>
        <v>Z961A10C74: [811.00€ ]</v>
      </c>
      <c r="Q1669" t="str">
        <f>""</f>
        <v/>
      </c>
      <c r="R1669" t="str">
        <f>""</f>
        <v/>
      </c>
      <c r="S1669" t="str">
        <f>""</f>
        <v/>
      </c>
      <c r="T1669" t="str">
        <f>"https://portaletrasparenza.consorziobacchiglione.it/dettagli/attodigara/474/fornitura-materiale-edile-per-canalette-irrigue-delta-brenta.html"</f>
        <v>https://portaletrasparenza.consorziobacchiglione.it/dettagli/attodigara/474/fornitura-materiale-edile-per-canalette-irrigue-delta-brenta.html</v>
      </c>
      <c r="U1669" t="str">
        <f>""</f>
        <v/>
      </c>
      <c r="V166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70" spans="1:22" x14ac:dyDescent="0.3">
      <c r="A1670" t="str">
        <f>"Affidamento"</f>
        <v>Affidamento</v>
      </c>
      <c r="B1670" t="str">
        <f>"Effettuazione del prelievo ed analisi chimiche su campioni di sedimento e terreno."</f>
        <v>Effettuazione del prelievo ed analisi chimiche su campioni di sedimento e terreno.</v>
      </c>
      <c r="C1670" t="str">
        <f>"ZF81A1048D"</f>
        <v>ZF81A1048D</v>
      </c>
      <c r="D1670" t="str">
        <f>"04/11/2021"</f>
        <v>04/11/2021</v>
      </c>
      <c r="E1670" t="str">
        <f>""</f>
        <v/>
      </c>
      <c r="F1670" t="str">
        <f>""</f>
        <v/>
      </c>
      <c r="G1670" t="str">
        <f>"840.00"</f>
        <v>840.00</v>
      </c>
      <c r="H1670" t="str">
        <f>"Consorzio di bonifica Bacchiglione"</f>
        <v>Consorzio di bonifica Bacchiglione</v>
      </c>
      <c r="I1670" t="str">
        <f>"92223390284"</f>
        <v>92223390284</v>
      </c>
      <c r="J1670" t="str">
        <f>"23-AFFIDAMENTO DIRETTO"</f>
        <v>23-AFFIDAMENTO DIRETTO</v>
      </c>
      <c r="K1670" t="str">
        <f>"27/05/2021"</f>
        <v>27/05/2021</v>
      </c>
      <c r="L1670" t="str">
        <f>"01/10/2021"</f>
        <v>01/10/2021</v>
      </c>
      <c r="M1670" t="str">
        <f>""</f>
        <v/>
      </c>
      <c r="N1670" t="str">
        <f>"Innovazione Chimica s.r.l."</f>
        <v>Innovazione Chimica s.r.l.</v>
      </c>
      <c r="O1670" t="str">
        <f>"Innovazione Chimica s.r.l."</f>
        <v>Innovazione Chimica s.r.l.</v>
      </c>
      <c r="P1670" t="str">
        <f>"ZF81A1048D: [840.00€ ]"</f>
        <v>ZF81A1048D: [840.00€ ]</v>
      </c>
      <c r="Q1670" t="str">
        <f>""</f>
        <v/>
      </c>
      <c r="R1670" t="str">
        <f>""</f>
        <v/>
      </c>
      <c r="S1670" t="str">
        <f>""</f>
        <v/>
      </c>
      <c r="T1670" t="str">
        <f>"https://portaletrasparenza.consorziobacchiglione.it/dettagli/attodigara/473/effettuazione-del-prelievo-ed-analisi-chimiche-su-campioni-di-sedimento-e-terreno.html"</f>
        <v>https://portaletrasparenza.consorziobacchiglione.it/dettagli/attodigara/473/effettuazione-del-prelievo-ed-analisi-chimiche-su-campioni-di-sedimento-e-terreno.html</v>
      </c>
      <c r="U1670" t="str">
        <f>""</f>
        <v/>
      </c>
      <c r="V167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71" spans="1:22" x14ac:dyDescent="0.3">
      <c r="A1671" t="str">
        <f>"Affidamento"</f>
        <v>Affidamento</v>
      </c>
      <c r="B1671" t="str">
        <f>"Revisione e potenziamento elettropompa E.P.1. dell'Idrovora Voltabarozzo."</f>
        <v>Revisione e potenziamento elettropompa E.P.1. dell'Idrovora Voltabarozzo.</v>
      </c>
      <c r="C1671" t="str">
        <f>"Z3E1A0DD34"</f>
        <v>Z3E1A0DD34</v>
      </c>
      <c r="D1671" t="str">
        <f>"04/11/2021"</f>
        <v>04/11/2021</v>
      </c>
      <c r="E1671" t="str">
        <f>""</f>
        <v/>
      </c>
      <c r="F1671" t="str">
        <f>""</f>
        <v/>
      </c>
      <c r="G1671" t="str">
        <f>"11750.00"</f>
        <v>11750.00</v>
      </c>
      <c r="H1671" t="str">
        <f>"Consorzio di bonifica Bacchiglione"</f>
        <v>Consorzio di bonifica Bacchiglione</v>
      </c>
      <c r="I1671" t="str">
        <f>"92223390284"</f>
        <v>92223390284</v>
      </c>
      <c r="J1671" t="str">
        <f>"23-AFFIDAMENTO DIRETTO"</f>
        <v>23-AFFIDAMENTO DIRETTO</v>
      </c>
      <c r="K1671" t="str">
        <f>"27/05/2021"</f>
        <v>27/05/2021</v>
      </c>
      <c r="L1671" t="str">
        <f>"27/10/2021"</f>
        <v>27/10/2021</v>
      </c>
      <c r="M1671" t="str">
        <f>""</f>
        <v/>
      </c>
      <c r="N1671" t="str">
        <f>"Officina Biesse S.n.c. Via Matteotti 24 35020 Arzergrande PD | Moro Meccanica S.R.L. Via Bologna 7 35035 Mestrino PD | Officine Sturaro S.R.L. Via Meucci 16 35028 Piove di Sacco PD"</f>
        <v>Officina Biesse S.n.c. Via Matteotti 24 35020 Arzergrande PD | Moro Meccanica S.R.L. Via Bologna 7 35035 Mestrino PD | Officine Sturaro S.R.L. Via Meucci 16 35028 Piove di Sacco PD</v>
      </c>
      <c r="O1671" t="str">
        <f>"Moro Meccanica S.R.L. Via Bologna 7 35035 Mestrino PD"</f>
        <v>Moro Meccanica S.R.L. Via Bologna 7 35035 Mestrino PD</v>
      </c>
      <c r="P1671" t="str">
        <f>"Z3E1A0DD34: [11750.00€ ]"</f>
        <v>Z3E1A0DD34: [11750.00€ ]</v>
      </c>
      <c r="Q1671" t="str">
        <f>""</f>
        <v/>
      </c>
      <c r="R1671" t="str">
        <f>""</f>
        <v/>
      </c>
      <c r="S1671" t="str">
        <f>""</f>
        <v/>
      </c>
      <c r="T1671" t="str">
        <f>"https://portaletrasparenza.consorziobacchiglione.it/dettagli/attodigara/472/revisione-e-potenziamento-elettropompa-e-p-1-dell-idrovora-voltabarozzo.html"</f>
        <v>https://portaletrasparenza.consorziobacchiglione.it/dettagli/attodigara/472/revisione-e-potenziamento-elettropompa-e-p-1-dell-idrovora-voltabarozzo.html</v>
      </c>
      <c r="U1671" t="str">
        <f>""</f>
        <v/>
      </c>
      <c r="V167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72" spans="1:22" x14ac:dyDescent="0.3">
      <c r="A1672" t="str">
        <f>"Affidamento"</f>
        <v>Affidamento</v>
      </c>
      <c r="B1672" t="str">
        <f>"Affidamento fornitura materiale di consumo per etichettatrice servizio protocollo."</f>
        <v>Affidamento fornitura materiale di consumo per etichettatrice servizio protocollo.</v>
      </c>
      <c r="C1672" t="str">
        <f>"Z341A1174C"</f>
        <v>Z341A1174C</v>
      </c>
      <c r="D1672" t="str">
        <f>"04/11/2021"</f>
        <v>04/11/2021</v>
      </c>
      <c r="E1672" t="str">
        <f>""</f>
        <v/>
      </c>
      <c r="F1672" t="str">
        <f>""</f>
        <v/>
      </c>
      <c r="G1672" t="str">
        <f>"75.00"</f>
        <v>75.00</v>
      </c>
      <c r="H1672" t="str">
        <f>"Consorzio di bonifica Bacchiglione"</f>
        <v>Consorzio di bonifica Bacchiglione</v>
      </c>
      <c r="I1672" t="str">
        <f>"92223390284"</f>
        <v>92223390284</v>
      </c>
      <c r="J1672" t="str">
        <f>"23-AFFIDAMENTO DIRETTO"</f>
        <v>23-AFFIDAMENTO DIRETTO</v>
      </c>
      <c r="K1672" t="str">
        <f>"27/05/2021"</f>
        <v>27/05/2021</v>
      </c>
      <c r="L1672" t="str">
        <f>"18/08/2021"</f>
        <v>18/08/2021</v>
      </c>
      <c r="M1672" t="str">
        <f>""</f>
        <v/>
      </c>
      <c r="N1672" t="str">
        <f>"DATAGRAPH S.R.L."</f>
        <v>DATAGRAPH S.R.L.</v>
      </c>
      <c r="O1672" t="str">
        <f>"DATAGRAPH S.R.L."</f>
        <v>DATAGRAPH S.R.L.</v>
      </c>
      <c r="P1672" t="str">
        <f>"Z341A1174C: [75.00€ ]"</f>
        <v>Z341A1174C: [75.00€ ]</v>
      </c>
      <c r="Q1672" t="str">
        <f>""</f>
        <v/>
      </c>
      <c r="R1672" t="str">
        <f>""</f>
        <v/>
      </c>
      <c r="S1672" t="str">
        <f>""</f>
        <v/>
      </c>
      <c r="T1672" t="str">
        <f>"https://portaletrasparenza.consorziobacchiglione.it/dettagli/attodigara/471/affidamento-fornitura-materiale-di-consumo-per-etichettatrice-servizio-protocollo.html"</f>
        <v>https://portaletrasparenza.consorziobacchiglione.it/dettagli/attodigara/471/affidamento-fornitura-materiale-di-consumo-per-etichettatrice-servizio-protocollo.html</v>
      </c>
      <c r="U1672" t="str">
        <f>""</f>
        <v/>
      </c>
      <c r="V167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73" spans="1:22" x14ac:dyDescent="0.3">
      <c r="A1673" t="str">
        <f>"Affidamento"</f>
        <v>Affidamento</v>
      </c>
      <c r="B1673" t="str">
        <f>"Lavori di fornitura e posa in opera di travi metalliche e grigliati pedonali di copertura, in acciaio zincato, dei Pozzi di spinta ed arrivo del manufatto di attraversamento dell autostrada A4 e tangenziale Nord di PD. -"</f>
        <v>Lavori di fornitura e posa in opera di travi metalliche e grigliati pedonali di copertura, in acciaio zincato, dei Pozzi di spinta ed arrivo del manufatto di attraversamento dell autostrada A4 e tangenziale Nord di PD. -</v>
      </c>
      <c r="C1673" t="str">
        <f>"ZA81A0FDB2"</f>
        <v>ZA81A0FDB2</v>
      </c>
      <c r="D1673" t="str">
        <f>"04/11/2021"</f>
        <v>04/11/2021</v>
      </c>
      <c r="E1673" t="str">
        <f>""</f>
        <v/>
      </c>
      <c r="F1673" t="str">
        <f>""</f>
        <v/>
      </c>
      <c r="G1673" t="str">
        <f>"33400.00"</f>
        <v>33400.00</v>
      </c>
      <c r="H1673" t="str">
        <f>"Consorzio di bonifica Bacchiglione"</f>
        <v>Consorzio di bonifica Bacchiglione</v>
      </c>
      <c r="I1673" t="str">
        <f>"92223390284"</f>
        <v>92223390284</v>
      </c>
      <c r="J1673" t="str">
        <f>"08-AFFIDAMENTO IN ECONOMIA - COTTIMO FIDUCIARIO"</f>
        <v>08-AFFIDAMENTO IN ECONOMIA - COTTIMO FIDUCIARIO</v>
      </c>
      <c r="K1673" t="str">
        <f>"27/05/2021"</f>
        <v>27/05/2021</v>
      </c>
      <c r="L1673" t="str">
        <f>"16/08/2021"</f>
        <v>16/08/2021</v>
      </c>
      <c r="M1673" t="str">
        <f>""</f>
        <v/>
      </c>
      <c r="N1673" t="str">
        <f>"GPG S.r.l. | Fer Tre Srl | Marin Siro | RT SRL | Ruffato Mario s.r.l. | Impresa Edile F.lli Conte di Conte Emilio E C. - società in nome collettivo"</f>
        <v>GPG S.r.l. | Fer Tre Srl | Marin Siro | RT SRL | Ruffato Mario s.r.l. | Impresa Edile F.lli Conte di Conte Emilio E C. - società in nome collettivo</v>
      </c>
      <c r="O1673" t="str">
        <f>"GPG S.r.l."</f>
        <v>GPG S.r.l.</v>
      </c>
      <c r="P1673" t="str">
        <f>"ZA81A0FDB2: [33400.00€ ]"</f>
        <v>ZA81A0FDB2: [33400.00€ ]</v>
      </c>
      <c r="Q1673" t="str">
        <f>""</f>
        <v/>
      </c>
      <c r="R1673" t="str">
        <f>""</f>
        <v/>
      </c>
      <c r="S1673" t="str">
        <f>""</f>
        <v/>
      </c>
      <c r="T1673" t="s">
        <v>47</v>
      </c>
      <c r="U1673" t="str">
        <f>""</f>
        <v/>
      </c>
      <c r="V167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74" spans="1:22" x14ac:dyDescent="0.3">
      <c r="A1674" t="str">
        <f>"Affidamento"</f>
        <v>Affidamento</v>
      </c>
      <c r="B1674" t="str">
        <f>"Incarico professionale di service tecnico e di coordinatore della sicurezza in fase di progettazione (CSP) ed esecuzione (CSE)."</f>
        <v>Incarico professionale di service tecnico e di coordinatore della sicurezza in fase di progettazione (CSP) ed esecuzione (CSE).</v>
      </c>
      <c r="C1674" t="str">
        <f>"ZF51A6D31D"</f>
        <v>ZF51A6D31D</v>
      </c>
      <c r="D1674" t="str">
        <f>"04/11/2021"</f>
        <v>04/11/2021</v>
      </c>
      <c r="E1674" t="str">
        <f>""</f>
        <v/>
      </c>
      <c r="F1674" t="str">
        <f>""</f>
        <v/>
      </c>
      <c r="G1674" t="str">
        <f>"5200.00"</f>
        <v>5200.00</v>
      </c>
      <c r="H1674" t="str">
        <f>"Consorzio di bonifica Bacchiglione"</f>
        <v>Consorzio di bonifica Bacchiglione</v>
      </c>
      <c r="I1674" t="str">
        <f>"92223390284"</f>
        <v>92223390284</v>
      </c>
      <c r="J1674" t="str">
        <f>"23-AFFIDAMENTO DIRETTO"</f>
        <v>23-AFFIDAMENTO DIRETTO</v>
      </c>
      <c r="K1674" t="str">
        <f>"27/06/2021"</f>
        <v>27/06/2021</v>
      </c>
      <c r="L1674" t="str">
        <f>"06/12/2021"</f>
        <v>06/12/2021</v>
      </c>
      <c r="M1674" t="str">
        <f>""</f>
        <v/>
      </c>
      <c r="N1674" t="str">
        <f>"MATE Soc.Coop.va"</f>
        <v>MATE Soc.Coop.va</v>
      </c>
      <c r="O1674" t="str">
        <f>"MATE Soc.Coop.va"</f>
        <v>MATE Soc.Coop.va</v>
      </c>
      <c r="P1674" t="str">
        <f>"ZF51A6D31D: [5200.00€ ]"</f>
        <v>ZF51A6D31D: [5200.00€ ]</v>
      </c>
      <c r="Q1674" t="str">
        <f>""</f>
        <v/>
      </c>
      <c r="R1674" t="str">
        <f>""</f>
        <v/>
      </c>
      <c r="S1674" t="str">
        <f>""</f>
        <v/>
      </c>
      <c r="T1674" t="str">
        <f>"https://portaletrasparenza.consorziobacchiglione.it/dettagli/attodigara/542/incarico-professionale-di-service-tecnico-e-di-coordinatore-della-sicurezza-in-fase-di-progettazione-csp-ed-esecuzione-cse.html"</f>
        <v>https://portaletrasparenza.consorziobacchiglione.it/dettagli/attodigara/542/incarico-professionale-di-service-tecnico-e-di-coordinatore-della-sicurezza-in-fase-di-progettazione-csp-ed-esecuzione-cse.html</v>
      </c>
      <c r="U1674" t="str">
        <f>""</f>
        <v/>
      </c>
      <c r="V167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75" spans="1:22" x14ac:dyDescent="0.3">
      <c r="A1675" t="str">
        <f>"Affidamento"</f>
        <v>Affidamento</v>
      </c>
      <c r="B1675" t="str">
        <f>"Affidamento incarico CSE - Nuovo G.E. di Voltabarozzo - I° LOTTO - Processo ID 011-14."</f>
        <v>Affidamento incarico CSE - Nuovo G.E. di Voltabarozzo - I° LOTTO - Processo ID 011-14.</v>
      </c>
      <c r="C1675" t="str">
        <f>"ZDB1AC7D15"</f>
        <v>ZDB1AC7D15</v>
      </c>
      <c r="D1675" t="str">
        <f>"04/11/2021"</f>
        <v>04/11/2021</v>
      </c>
      <c r="E1675" t="str">
        <f>""</f>
        <v/>
      </c>
      <c r="F1675" t="str">
        <f>""</f>
        <v/>
      </c>
      <c r="G1675" t="str">
        <f>"3952.00"</f>
        <v>3952.00</v>
      </c>
      <c r="H1675" t="str">
        <f>"Consorzio di bonifica Bacchiglione"</f>
        <v>Consorzio di bonifica Bacchiglione</v>
      </c>
      <c r="I1675" t="str">
        <f>"92223390284"</f>
        <v>92223390284</v>
      </c>
      <c r="J1675" t="str">
        <f>"23-AFFIDAMENTO DIRETTO"</f>
        <v>23-AFFIDAMENTO DIRETTO</v>
      </c>
      <c r="K1675" t="str">
        <f>"27/07/2021"</f>
        <v>27/07/2021</v>
      </c>
      <c r="L1675" t="str">
        <f>"24/01/2021"</f>
        <v>24/01/2021</v>
      </c>
      <c r="M1675" t="str">
        <f>""</f>
        <v/>
      </c>
      <c r="N1675" t="str">
        <f>"Ing. Franco Ruscitti"</f>
        <v>Ing. Franco Ruscitti</v>
      </c>
      <c r="O1675" t="str">
        <f>"Ing. Franco Ruscitti"</f>
        <v>Ing. Franco Ruscitti</v>
      </c>
      <c r="P1675" t="str">
        <f>"ZDB1AC7D15: [3952.00€ ]"</f>
        <v>ZDB1AC7D15: [3952.00€ ]</v>
      </c>
      <c r="Q1675" t="str">
        <f>""</f>
        <v/>
      </c>
      <c r="R1675" t="str">
        <f>""</f>
        <v/>
      </c>
      <c r="S1675" t="str">
        <f>""</f>
        <v/>
      </c>
      <c r="T1675" t="str">
        <f>"https://portaletrasparenza.consorziobacchiglione.it/dettagli/attodigara/621/affidamento-incarico-cse-nuovo-g-e-di-voltabarozzo-i-lotto-processo-id-011-14.html"</f>
        <v>https://portaletrasparenza.consorziobacchiglione.it/dettagli/attodigara/621/affidamento-incarico-cse-nuovo-g-e-di-voltabarozzo-i-lotto-processo-id-011-14.html</v>
      </c>
      <c r="U1675" t="str">
        <f>""</f>
        <v/>
      </c>
      <c r="V167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76" spans="1:22" x14ac:dyDescent="0.3">
      <c r="A1676" t="str">
        <f>"Affidamento"</f>
        <v>Affidamento</v>
      </c>
      <c r="B1676" t="str">
        <f>"Fornitura nuovo decespugliatore Stihl FS260R per Bacino Montà Portello"</f>
        <v>Fornitura nuovo decespugliatore Stihl FS260R per Bacino Montà Portello</v>
      </c>
      <c r="C1676" t="str">
        <f>"Z283263D7E"</f>
        <v>Z283263D7E</v>
      </c>
      <c r="D1676" t="str">
        <f>"02/08/2021"</f>
        <v>02/08/2021</v>
      </c>
      <c r="E1676" t="str">
        <f>""</f>
        <v/>
      </c>
      <c r="F1676" t="str">
        <f>""</f>
        <v/>
      </c>
      <c r="G1676" t="str">
        <f>"516.39"</f>
        <v>516.39</v>
      </c>
      <c r="H1676" t="str">
        <f>"Consorzio di bonifica Bacchiglione"</f>
        <v>Consorzio di bonifica Bacchiglione</v>
      </c>
      <c r="I1676" t="str">
        <f>"92223390284"</f>
        <v>92223390284</v>
      </c>
      <c r="J1676" t="str">
        <f>"23-AFFIDAMENTO DIRETTO"</f>
        <v>23-AFFIDAMENTO DIRETTO</v>
      </c>
      <c r="K1676" t="str">
        <f>"27/07/2021"</f>
        <v>27/07/2021</v>
      </c>
      <c r="L1676" t="str">
        <f>"05/11/2021"</f>
        <v>05/11/2021</v>
      </c>
      <c r="M1676" t="str">
        <f>""</f>
        <v/>
      </c>
      <c r="N1676" t="str">
        <f>"Berto Guerrino snc Via Caovilla 27-B 35020 Saonara PD"</f>
        <v>Berto Guerrino snc Via Caovilla 27-B 35020 Saonara PD</v>
      </c>
      <c r="O1676" t="str">
        <f>"Berto Guerrino snc Via Caovilla 27-B 35020 Saonara PD"</f>
        <v>Berto Guerrino snc Via Caovilla 27-B 35020 Saonara PD</v>
      </c>
      <c r="P1676" t="s">
        <v>263</v>
      </c>
      <c r="Q1676" t="str">
        <f>""</f>
        <v/>
      </c>
      <c r="R1676" t="str">
        <f>""</f>
        <v/>
      </c>
      <c r="S1676" t="str">
        <f>""</f>
        <v/>
      </c>
      <c r="T1676" t="str">
        <f>"https://portaletrasparenza.consorziobacchiglione.it/dettagli/attodigara/7032/fornitura-nuovo-decespugliatore-stihl-fs260r-per-bacino-monta-portello.html"</f>
        <v>https://portaletrasparenza.consorziobacchiglione.it/dettagli/attodigara/7032/fornitura-nuovo-decespugliatore-stihl-fs260r-per-bacino-monta-portello.html</v>
      </c>
      <c r="U1676" t="str">
        <f>"https://portaletrasparenza.consorziobacchiglione.it/download/attodigara/7032/63ac45b117955.PDF"</f>
        <v>https://portaletrasparenza.consorziobacchiglione.it/download/attodigara/7032/63ac45b117955.PDF</v>
      </c>
      <c r="V167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77" spans="1:22" x14ac:dyDescent="0.3">
      <c r="A1677" t="str">
        <f>"Affidamento"</f>
        <v>Affidamento</v>
      </c>
      <c r="B1677" t="str">
        <f>"Fornitura di passarelle, scale e parapetti da posizionarsi sui sostegni Biancolino, Burattin, Magagna, Nuovo Breo, Cecconello, Laghetto Roberta, Masiero oltre alla realizzazione di n. 5 sbarre"</f>
        <v>Fornitura di passarelle, scale e parapetti da posizionarsi sui sostegni Biancolino, Burattin, Magagna, Nuovo Breo, Cecconello, Laghetto Roberta, Masiero oltre alla realizzazione di n. 5 sbarre</v>
      </c>
      <c r="C1677" t="str">
        <f>"Z4B329960D"</f>
        <v>Z4B329960D</v>
      </c>
      <c r="D1677" t="str">
        <f>"27/07/2021"</f>
        <v>27/07/2021</v>
      </c>
      <c r="E1677" t="str">
        <f>""</f>
        <v/>
      </c>
      <c r="F1677" t="str">
        <f>""</f>
        <v/>
      </c>
      <c r="G1677" t="str">
        <f>"18990.00"</f>
        <v>18990.00</v>
      </c>
      <c r="H1677" t="str">
        <f>"Consorzio di bonifica Bacchiglione"</f>
        <v>Consorzio di bonifica Bacchiglione</v>
      </c>
      <c r="I1677" t="str">
        <f>"92223390284"</f>
        <v>92223390284</v>
      </c>
      <c r="J1677" t="str">
        <f>"23-AFFIDAMENTO DIRETTO"</f>
        <v>23-AFFIDAMENTO DIRETTO</v>
      </c>
      <c r="K1677" t="str">
        <f>"27/07/2021"</f>
        <v>27/07/2021</v>
      </c>
      <c r="L1677" t="str">
        <f>"05/11/2021"</f>
        <v>05/11/2021</v>
      </c>
      <c r="M1677" t="str">
        <f>""</f>
        <v/>
      </c>
      <c r="N1677" t="str">
        <f>"GV Carpenteria Via Santa Chiara 26 35040 Sant'Elena PD"</f>
        <v>GV Carpenteria Via Santa Chiara 26 35040 Sant'Elena PD</v>
      </c>
      <c r="O1677" t="str">
        <f>"GV Carpenteria Via Santa Chiara 26 35040 Sant'Elena PD"</f>
        <v>GV Carpenteria Via Santa Chiara 26 35040 Sant'Elena PD</v>
      </c>
      <c r="P1677" t="s">
        <v>150</v>
      </c>
      <c r="Q1677" t="str">
        <f>""</f>
        <v/>
      </c>
      <c r="R1677" t="str">
        <f>""</f>
        <v/>
      </c>
      <c r="S1677" t="str">
        <f>""</f>
        <v/>
      </c>
      <c r="T1677" t="s">
        <v>90</v>
      </c>
      <c r="U1677" t="str">
        <f>"https://portaletrasparenza.consorziobacchiglione.it/download/attodigara/7027/63ac45ac30a41.PDF"</f>
        <v>https://portaletrasparenza.consorziobacchiglione.it/download/attodigara/7027/63ac45ac30a41.PDF</v>
      </c>
      <c r="V16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78" spans="1:22" x14ac:dyDescent="0.3">
      <c r="A1678" t="str">
        <f>"Affidamento"</f>
        <v>Affidamento</v>
      </c>
      <c r="B1678" t="str">
        <f>"Fornitura di pluviometri riscaldati presso sostegno delle Basse, Piccolo, Governo (Ricicleria)"</f>
        <v>Fornitura di pluviometri riscaldati presso sostegno delle Basse, Piccolo, Governo (Ricicleria)</v>
      </c>
      <c r="C1678" t="str">
        <f>"Z92329BAD6"</f>
        <v>Z92329BAD6</v>
      </c>
      <c r="D1678" t="str">
        <f>"27/07/2021"</f>
        <v>27/07/2021</v>
      </c>
      <c r="E1678" t="str">
        <f>""</f>
        <v/>
      </c>
      <c r="F1678" t="str">
        <f>""</f>
        <v/>
      </c>
      <c r="G1678" t="str">
        <f>"5626.00"</f>
        <v>5626.00</v>
      </c>
      <c r="H1678" t="str">
        <f>"Consorzio di bonifica Bacchiglione"</f>
        <v>Consorzio di bonifica Bacchiglione</v>
      </c>
      <c r="I1678" t="str">
        <f>"92223390284"</f>
        <v>92223390284</v>
      </c>
      <c r="J1678" t="str">
        <f>"23-AFFIDAMENTO DIRETTO"</f>
        <v>23-AFFIDAMENTO DIRETTO</v>
      </c>
      <c r="K1678" t="str">
        <f>"27/07/2021"</f>
        <v>27/07/2021</v>
      </c>
      <c r="L1678" t="str">
        <f>"30/10/2021"</f>
        <v>30/10/2021</v>
      </c>
      <c r="M1678" t="str">
        <f>""</f>
        <v/>
      </c>
      <c r="N1678" t="str">
        <f>"Siap+Micros S.p.a. Via del lavoro 1l 31020 Castello Roganzuolo di San Fior TV"</f>
        <v>Siap+Micros S.p.a. Via del lavoro 1l 31020 Castello Roganzuolo di San Fior TV</v>
      </c>
      <c r="O1678" t="str">
        <f>"Siap+Micros S.p.a. Via del lavoro 1l 31020 Castello Roganzuolo di San Fior TV"</f>
        <v>Siap+Micros S.p.a. Via del lavoro 1l 31020 Castello Roganzuolo di San Fior TV</v>
      </c>
      <c r="P1678" t="s">
        <v>182</v>
      </c>
      <c r="Q1678" t="str">
        <f>""</f>
        <v/>
      </c>
      <c r="R1678" t="str">
        <f>""</f>
        <v/>
      </c>
      <c r="S1678" t="str">
        <f>""</f>
        <v/>
      </c>
      <c r="T1678" t="str">
        <f>"https://portaletrasparenza.consorziobacchiglione.it/dettagli/attodigara/7036/fornitura-di-pluviometri-riscaldati-presso-sostegno-delle-basse-piccolo-governo-ricicleria.html"</f>
        <v>https://portaletrasparenza.consorziobacchiglione.it/dettagli/attodigara/7036/fornitura-di-pluviometri-riscaldati-presso-sostegno-delle-basse-piccolo-governo-ricicleria.html</v>
      </c>
      <c r="U1678" t="str">
        <f>"https://portaletrasparenza.consorziobacchiglione.it/download/attodigara/7036/63ac45ae0e26e.PDF"</f>
        <v>https://portaletrasparenza.consorziobacchiglione.it/download/attodigara/7036/63ac45ae0e26e.PDF</v>
      </c>
      <c r="V167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79" spans="1:22" x14ac:dyDescent="0.3">
      <c r="A1679" t="str">
        <f>"Affidamento"</f>
        <v>Affidamento</v>
      </c>
      <c r="B1679" t="str">
        <f>"Sistemazione pompe del vuoto presso Idrovora Vaso Cavaizze e Idrovora Trezze"</f>
        <v>Sistemazione pompe del vuoto presso Idrovora Vaso Cavaizze e Idrovora Trezze</v>
      </c>
      <c r="C1679" t="str">
        <f>"Z97329B457"</f>
        <v>Z97329B457</v>
      </c>
      <c r="D1679" t="str">
        <f>"27/07/2021"</f>
        <v>27/07/2021</v>
      </c>
      <c r="E1679" t="str">
        <f>""</f>
        <v/>
      </c>
      <c r="F1679" t="str">
        <f>""</f>
        <v/>
      </c>
      <c r="G1679" t="str">
        <f>"1395.66"</f>
        <v>1395.66</v>
      </c>
      <c r="H1679" t="str">
        <f>"Consorzio di bonifica Bacchiglione"</f>
        <v>Consorzio di bonifica Bacchiglione</v>
      </c>
      <c r="I1679" t="str">
        <f>"92223390284"</f>
        <v>92223390284</v>
      </c>
      <c r="J1679" t="str">
        <f>"23-AFFIDAMENTO DIRETTO"</f>
        <v>23-AFFIDAMENTO DIRETTO</v>
      </c>
      <c r="K1679" t="str">
        <f>"27/07/2021"</f>
        <v>27/07/2021</v>
      </c>
      <c r="L1679" t="str">
        <f>"30/08/2021"</f>
        <v>30/08/2021</v>
      </c>
      <c r="M1679" t="str">
        <f>""</f>
        <v/>
      </c>
      <c r="N1679" t="str">
        <f>"Giraldo Impianti SNC di Giraldo Danilo e Silvio Via Flli Cervi 1-II 30010 Campolongo Maggiore VE"</f>
        <v>Giraldo Impianti SNC di Giraldo Danilo e Silvio Via Flli Cervi 1-II 30010 Campolongo Maggiore VE</v>
      </c>
      <c r="O1679" t="str">
        <f>"Giraldo Impianti SNC di Giraldo Danilo e Silvio Via Flli Cervi 1-II 30010 Campolongo Maggiore VE"</f>
        <v>Giraldo Impianti SNC di Giraldo Danilo e Silvio Via Flli Cervi 1-II 30010 Campolongo Maggiore VE</v>
      </c>
      <c r="P1679" t="str">
        <f>"Z97329B457: [1395.66€ ]"</f>
        <v>Z97329B457: [1395.66€ ]</v>
      </c>
      <c r="Q1679" t="str">
        <f>""</f>
        <v/>
      </c>
      <c r="R1679" t="str">
        <f>""</f>
        <v/>
      </c>
      <c r="S1679" t="str">
        <f>""</f>
        <v/>
      </c>
      <c r="T1679" t="str">
        <f>"https://portaletrasparenza.consorziobacchiglione.it/dettagli/attodigara/7035/sistemazione-pompe-del-vuoto-presso-idrovora-vaso-cavaizze-e-idrovora-trezze.html"</f>
        <v>https://portaletrasparenza.consorziobacchiglione.it/dettagli/attodigara/7035/sistemazione-pompe-del-vuoto-presso-idrovora-vaso-cavaizze-e-idrovora-trezze.html</v>
      </c>
      <c r="U1679" t="str">
        <f>"https://portaletrasparenza.consorziobacchiglione.it/download/attodigara/7035/63ac45adc9a01.PDF"</f>
        <v>https://portaletrasparenza.consorziobacchiglione.it/download/attodigara/7035/63ac45adc9a01.PDF</v>
      </c>
      <c r="V16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80" spans="1:22" x14ac:dyDescent="0.3">
      <c r="A1680" t="str">
        <f>"Affidamento"</f>
        <v>Affidamento</v>
      </c>
      <c r="B1680" t="str">
        <f>"Controllo semestrale gru con rilascio scheda presso mezzi targati: FF936PM, FF974PM"</f>
        <v>Controllo semestrale gru con rilascio scheda presso mezzi targati: FF936PM, FF974PM</v>
      </c>
      <c r="C1680" t="str">
        <f>"ZDD329B1A3"</f>
        <v>ZDD329B1A3</v>
      </c>
      <c r="D1680" t="str">
        <f>"27/07/2021"</f>
        <v>27/07/2021</v>
      </c>
      <c r="E1680" t="str">
        <f>""</f>
        <v/>
      </c>
      <c r="F1680" t="str">
        <f>""</f>
        <v/>
      </c>
      <c r="G1680" t="str">
        <f>"480.00"</f>
        <v>480.00</v>
      </c>
      <c r="H1680" t="str">
        <f>"Consorzio di bonifica Bacchiglione"</f>
        <v>Consorzio di bonifica Bacchiglione</v>
      </c>
      <c r="I1680" t="str">
        <f>"92223390284"</f>
        <v>92223390284</v>
      </c>
      <c r="J1680" t="str">
        <f>"23-AFFIDAMENTO DIRETTO"</f>
        <v>23-AFFIDAMENTO DIRETTO</v>
      </c>
      <c r="K1680" t="str">
        <f>"27/07/2021"</f>
        <v>27/07/2021</v>
      </c>
      <c r="L1680" t="str">
        <f>"28/07/2021"</f>
        <v>28/07/2021</v>
      </c>
      <c r="M1680" t="str">
        <f>""</f>
        <v/>
      </c>
      <c r="N1680" t="str">
        <f>"Moressa s.r.l. Via Cuccara 2 35020 Due Carrare PD"</f>
        <v>Moressa s.r.l. Via Cuccara 2 35020 Due Carrare PD</v>
      </c>
      <c r="O1680" t="str">
        <f>"Moressa s.r.l. Via Cuccara 2 35020 Due Carrare PD"</f>
        <v>Moressa s.r.l. Via Cuccara 2 35020 Due Carrare PD</v>
      </c>
      <c r="P1680" t="str">
        <f>"ZDD329B1A3: [480.00€ ]"</f>
        <v>ZDD329B1A3: [480.00€ ]</v>
      </c>
      <c r="Q1680" t="str">
        <f>""</f>
        <v/>
      </c>
      <c r="R1680" t="str">
        <f>""</f>
        <v/>
      </c>
      <c r="S1680" t="str">
        <f>""</f>
        <v/>
      </c>
      <c r="T1680" t="str">
        <f>"https://portaletrasparenza.consorziobacchiglione.it/dettagli/attodigara/7034/controllo-semestrale-gru-con-rilascio-scheda-presso-mezzi-targati-ff936pm-ff974pm.html"</f>
        <v>https://portaletrasparenza.consorziobacchiglione.it/dettagli/attodigara/7034/controllo-semestrale-gru-con-rilascio-scheda-presso-mezzi-targati-ff936pm-ff974pm.html</v>
      </c>
      <c r="U1680" t="str">
        <f>"https://portaletrasparenza.consorziobacchiglione.it/download/attodigara/7034/63ac45ad90ca2.PDF"</f>
        <v>https://portaletrasparenza.consorziobacchiglione.it/download/attodigara/7034/63ac45ad90ca2.PDF</v>
      </c>
      <c r="V168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81" spans="1:22" x14ac:dyDescent="0.3">
      <c r="A1681" t="str">
        <f>"Affidamento"</f>
        <v>Affidamento</v>
      </c>
      <c r="B1681" t="str">
        <f>"Trasporto escavatore 900 cingolato dall'Impianto Fossetta alla ditta Sorme , più trasporto escavatore cingolato Hitachi dalla ditta Sorme all'Idrovora di Treponti"</f>
        <v>Trasporto escavatore 900 cingolato dall'Impianto Fossetta alla ditta Sorme , più trasporto escavatore cingolato Hitachi dalla ditta Sorme all'Idrovora di Treponti</v>
      </c>
      <c r="C1681" t="str">
        <f>"Z78329ACF7"</f>
        <v>Z78329ACF7</v>
      </c>
      <c r="D1681" t="str">
        <f>"27/07/2021"</f>
        <v>27/07/2021</v>
      </c>
      <c r="E1681" t="str">
        <f>""</f>
        <v/>
      </c>
      <c r="F1681" t="str">
        <f>""</f>
        <v/>
      </c>
      <c r="G1681" t="str">
        <f>"330.00"</f>
        <v>330.00</v>
      </c>
      <c r="H1681" t="str">
        <f>"Consorzio di bonifica Bacchiglione"</f>
        <v>Consorzio di bonifica Bacchiglione</v>
      </c>
      <c r="I1681" t="str">
        <f>"92223390284"</f>
        <v>92223390284</v>
      </c>
      <c r="J1681" t="str">
        <f>"23-AFFIDAMENTO DIRETTO"</f>
        <v>23-AFFIDAMENTO DIRETTO</v>
      </c>
      <c r="K1681" t="str">
        <f>"27/07/2021"</f>
        <v>27/07/2021</v>
      </c>
      <c r="L1681" t="str">
        <f>"31/07/2021"</f>
        <v>31/07/2021</v>
      </c>
      <c r="M1681" t="str">
        <f>""</f>
        <v/>
      </c>
      <c r="N1681" t="str">
        <f>"Trovò s.r.l. Via Idrovora, 3 - 35020 Codevigo (PD)"</f>
        <v>Trovò s.r.l. Via Idrovora, 3 - 35020 Codevigo (PD)</v>
      </c>
      <c r="O1681" t="str">
        <f>"Trovò s.r.l. Via Idrovora, 3 - 35020 Codevigo (PD)"</f>
        <v>Trovò s.r.l. Via Idrovora, 3 - 35020 Codevigo (PD)</v>
      </c>
      <c r="P1681" t="str">
        <f>"Z78329ACF7: [330.00€ ]"</f>
        <v>Z78329ACF7: [330.00€ ]</v>
      </c>
      <c r="Q1681" t="str">
        <f>""</f>
        <v/>
      </c>
      <c r="R1681" t="str">
        <f>""</f>
        <v/>
      </c>
      <c r="S1681" t="str">
        <f>""</f>
        <v/>
      </c>
      <c r="T1681" t="str">
        <f>"https://portaletrasparenza.consorziobacchiglione.it/dettagli/attodigara/7033/trasporto-escavatore-900-cingolato-dall-impianto-fossetta-alla-ditta-sorme-piu-trasporto-escavatore-cingolato-hitachi-dalla-ditta-sorme-all-idrovora-di-treponti.html"</f>
        <v>https://portaletrasparenza.consorziobacchiglione.it/dettagli/attodigara/7033/trasporto-escavatore-900-cingolato-dall-impianto-fossetta-alla-ditta-sorme-piu-trasporto-escavatore-cingolato-hitachi-dalla-ditta-sorme-all-idrovora-di-treponti.html</v>
      </c>
      <c r="U1681" t="str">
        <f>"https://portaletrasparenza.consorziobacchiglione.it/download/attodigara/7033/63ac45ad58099.PDF"</f>
        <v>https://portaletrasparenza.consorziobacchiglione.it/download/attodigara/7033/63ac45ad58099.PDF</v>
      </c>
      <c r="V168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82" spans="1:22" x14ac:dyDescent="0.3">
      <c r="A1682" t="str">
        <f>"Affidamento"</f>
        <v>Affidamento</v>
      </c>
      <c r="B1682" t="str">
        <f>"Riparazione pneumatico su mezzo targato: FZ297XV"</f>
        <v>Riparazione pneumatico su mezzo targato: FZ297XV</v>
      </c>
      <c r="C1682" t="str">
        <f>"Z54329A925"</f>
        <v>Z54329A925</v>
      </c>
      <c r="D1682" t="str">
        <f>"27/07/2021"</f>
        <v>27/07/2021</v>
      </c>
      <c r="E1682" t="str">
        <f>""</f>
        <v/>
      </c>
      <c r="F1682" t="str">
        <f>""</f>
        <v/>
      </c>
      <c r="G1682" t="str">
        <f>"25.00"</f>
        <v>25.00</v>
      </c>
      <c r="H1682" t="str">
        <f>"Consorzio di bonifica Bacchiglione"</f>
        <v>Consorzio di bonifica Bacchiglione</v>
      </c>
      <c r="I1682" t="str">
        <f>"92223390284"</f>
        <v>92223390284</v>
      </c>
      <c r="J1682" t="str">
        <f>"23-AFFIDAMENTO DIRETTO"</f>
        <v>23-AFFIDAMENTO DIRETTO</v>
      </c>
      <c r="K1682" t="str">
        <f>"27/07/2021"</f>
        <v>27/07/2021</v>
      </c>
      <c r="L1682" t="str">
        <f>"31/08/2021"</f>
        <v>31/08/2021</v>
      </c>
      <c r="M1682" t="str">
        <f>""</f>
        <v/>
      </c>
      <c r="N1682" t="str">
        <f>"Ri.gom.ma S.R.L. Via Orlando, 47 - 30173 Campalto (VE)"</f>
        <v>Ri.gom.ma S.R.L. Via Orlando, 47 - 30173 Campalto (VE)</v>
      </c>
      <c r="O1682" t="str">
        <f>"Ri.gom.ma S.R.L. Via Orlando, 47 - 30173 Campalto (VE)"</f>
        <v>Ri.gom.ma S.R.L. Via Orlando, 47 - 30173 Campalto (VE)</v>
      </c>
      <c r="P1682" t="str">
        <f>"Z54329A925: [25.00€ ]"</f>
        <v>Z54329A925: [25.00€ ]</v>
      </c>
      <c r="Q1682" t="str">
        <f>""</f>
        <v/>
      </c>
      <c r="R1682" t="str">
        <f>""</f>
        <v/>
      </c>
      <c r="S1682" t="str">
        <f>""</f>
        <v/>
      </c>
      <c r="T1682" t="str">
        <f>"https://portaletrasparenza.consorziobacchiglione.it/dettagli/attodigara/7031/riparazione-pneumatico-su-mezzo-targato-fz297xv.html"</f>
        <v>https://portaletrasparenza.consorziobacchiglione.it/dettagli/attodigara/7031/riparazione-pneumatico-su-mezzo-targato-fz297xv.html</v>
      </c>
      <c r="U1682" t="str">
        <f>"https://portaletrasparenza.consorziobacchiglione.it/download/attodigara/7031/63ac45ad1f00b.PDF"</f>
        <v>https://portaletrasparenza.consorziobacchiglione.it/download/attodigara/7031/63ac45ad1f00b.PDF</v>
      </c>
      <c r="V16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83" spans="1:22" x14ac:dyDescent="0.3">
      <c r="A1683" t="str">
        <f>"Affidamento"</f>
        <v>Affidamento</v>
      </c>
      <c r="B1683" t="str">
        <f>"Riparazione decespugliatore FS240R presso Bacino Sesta Presa"</f>
        <v>Riparazione decespugliatore FS240R presso Bacino Sesta Presa</v>
      </c>
      <c r="C1683" t="str">
        <f>"Z29329A75C"</f>
        <v>Z29329A75C</v>
      </c>
      <c r="D1683" t="str">
        <f>"27/07/2021"</f>
        <v>27/07/2021</v>
      </c>
      <c r="E1683" t="str">
        <f>""</f>
        <v/>
      </c>
      <c r="F1683" t="str">
        <f>""</f>
        <v/>
      </c>
      <c r="G1683" t="str">
        <f>"131.15"</f>
        <v>131.15</v>
      </c>
      <c r="H1683" t="str">
        <f>"Consorzio di bonifica Bacchiglione"</f>
        <v>Consorzio di bonifica Bacchiglione</v>
      </c>
      <c r="I1683" t="str">
        <f>"92223390284"</f>
        <v>92223390284</v>
      </c>
      <c r="J1683" t="str">
        <f>"23-AFFIDAMENTO DIRETTO"</f>
        <v>23-AFFIDAMENTO DIRETTO</v>
      </c>
      <c r="K1683" t="str">
        <f>"27/07/2021"</f>
        <v>27/07/2021</v>
      </c>
      <c r="L1683" t="str">
        <f>"29/07/2021"</f>
        <v>29/07/2021</v>
      </c>
      <c r="M1683" t="str">
        <f>""</f>
        <v/>
      </c>
      <c r="N1683" t="str">
        <f>"Mini Motor di Vettorato Gabriele Via Puccini 3 35020 Brugine PD"</f>
        <v>Mini Motor di Vettorato Gabriele Via Puccini 3 35020 Brugine PD</v>
      </c>
      <c r="O1683" t="str">
        <f>"Mini Motor di Vettorato Gabriele Via Puccini 3 35020 Brugine PD"</f>
        <v>Mini Motor di Vettorato Gabriele Via Puccini 3 35020 Brugine PD</v>
      </c>
      <c r="P1683" t="str">
        <f>"Z29329A75C: [131.15€ ]"</f>
        <v>Z29329A75C: [131.15€ ]</v>
      </c>
      <c r="Q1683" t="str">
        <f>""</f>
        <v/>
      </c>
      <c r="R1683" t="str">
        <f>""</f>
        <v/>
      </c>
      <c r="S1683" t="str">
        <f>""</f>
        <v/>
      </c>
      <c r="T1683" t="str">
        <f>"https://portaletrasparenza.consorziobacchiglione.it/dettagli/attodigara/7030/riparazione-decespugliatore-fs240r-presso-bacino-sesta-presa.html"</f>
        <v>https://portaletrasparenza.consorziobacchiglione.it/dettagli/attodigara/7030/riparazione-decespugliatore-fs240r-presso-bacino-sesta-presa.html</v>
      </c>
      <c r="U1683" t="str">
        <f>"https://portaletrasparenza.consorziobacchiglione.it/download/attodigara/7030/63ac45acda5fd.PDF"</f>
        <v>https://portaletrasparenza.consorziobacchiglione.it/download/attodigara/7030/63ac45acda5fd.PDF</v>
      </c>
      <c r="V168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84" spans="1:22" x14ac:dyDescent="0.3">
      <c r="A1684" t="str">
        <f>"Affidamento"</f>
        <v>Affidamento</v>
      </c>
      <c r="B1684" t="str">
        <f>"Tagliando completo del mezzo Kubota KX080-4 Matr.71964"</f>
        <v>Tagliando completo del mezzo Kubota KX080-4 Matr.71964</v>
      </c>
      <c r="C1684" t="str">
        <f>"Z34329A667"</f>
        <v>Z34329A667</v>
      </c>
      <c r="D1684" t="str">
        <f>"27/07/2021"</f>
        <v>27/07/2021</v>
      </c>
      <c r="E1684" t="str">
        <f>""</f>
        <v/>
      </c>
      <c r="F1684" t="str">
        <f>""</f>
        <v/>
      </c>
      <c r="G1684" t="str">
        <f>"1221.91"</f>
        <v>1221.91</v>
      </c>
      <c r="H1684" t="str">
        <f>"Consorzio di bonifica Bacchiglione"</f>
        <v>Consorzio di bonifica Bacchiglione</v>
      </c>
      <c r="I1684" t="str">
        <f>"92223390284"</f>
        <v>92223390284</v>
      </c>
      <c r="J1684" t="str">
        <f>"23-AFFIDAMENTO DIRETTO"</f>
        <v>23-AFFIDAMENTO DIRETTO</v>
      </c>
      <c r="K1684" t="str">
        <f>"27/07/2021"</f>
        <v>27/07/2021</v>
      </c>
      <c r="L1684" t="str">
        <f>"31/08/2021"</f>
        <v>31/08/2021</v>
      </c>
      <c r="M1684" t="str">
        <f>""</f>
        <v/>
      </c>
      <c r="N1684" t="str">
        <f>"Sorme s.n.c. Via Monache 21 35030 Selvazzano Dentro PD"</f>
        <v>Sorme s.n.c. Via Monache 21 35030 Selvazzano Dentro PD</v>
      </c>
      <c r="O1684" t="str">
        <f>"Sorme s.n.c. Via Monache 21 35030 Selvazzano Dentro PD"</f>
        <v>Sorme s.n.c. Via Monache 21 35030 Selvazzano Dentro PD</v>
      </c>
      <c r="P1684" t="str">
        <f>"Z34329A667: [1221.91€ ]"</f>
        <v>Z34329A667: [1221.91€ ]</v>
      </c>
      <c r="Q1684" t="str">
        <f>""</f>
        <v/>
      </c>
      <c r="R1684" t="str">
        <f>""</f>
        <v/>
      </c>
      <c r="S1684" t="str">
        <f>""</f>
        <v/>
      </c>
      <c r="T1684" t="str">
        <f>"https://portaletrasparenza.consorziobacchiglione.it/dettagli/attodigara/7029/tagliando-completo-del-mezzo-kubota-kx080-4-matr-71964.html"</f>
        <v>https://portaletrasparenza.consorziobacchiglione.it/dettagli/attodigara/7029/tagliando-completo-del-mezzo-kubota-kx080-4-matr-71964.html</v>
      </c>
      <c r="U1684" t="str">
        <f>"https://portaletrasparenza.consorziobacchiglione.it/download/attodigara/7029/63ac45aca1c9b.PDF"</f>
        <v>https://portaletrasparenza.consorziobacchiglione.it/download/attodigara/7029/63ac45aca1c9b.PDF</v>
      </c>
      <c r="V16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85" spans="1:22" x14ac:dyDescent="0.3">
      <c r="A1685" t="str">
        <f>"Affidamento"</f>
        <v>Affidamento</v>
      </c>
      <c r="B1685" t="str">
        <f>"Trasporto escavatore cingolato Kubota da Idrovora Bernio a officina Vise Elettrocar (elettrauto)"</f>
        <v>Trasporto escavatore cingolato Kubota da Idrovora Bernio a officina Vise Elettrocar (elettrauto)</v>
      </c>
      <c r="C1685" t="str">
        <f>"ZCA3299CD4"</f>
        <v>ZCA3299CD4</v>
      </c>
      <c r="D1685" t="str">
        <f>"27/07/2021"</f>
        <v>27/07/2021</v>
      </c>
      <c r="E1685" t="str">
        <f>""</f>
        <v/>
      </c>
      <c r="F1685" t="str">
        <f>""</f>
        <v/>
      </c>
      <c r="G1685" t="str">
        <f>"150.00"</f>
        <v>150.00</v>
      </c>
      <c r="H1685" t="str">
        <f>"Consorzio di bonifica Bacchiglione"</f>
        <v>Consorzio di bonifica Bacchiglione</v>
      </c>
      <c r="I1685" t="str">
        <f>"92223390284"</f>
        <v>92223390284</v>
      </c>
      <c r="J1685" t="str">
        <f>"23-AFFIDAMENTO DIRETTO"</f>
        <v>23-AFFIDAMENTO DIRETTO</v>
      </c>
      <c r="K1685" t="str">
        <f>"27/07/2021"</f>
        <v>27/07/2021</v>
      </c>
      <c r="L1685" t="str">
        <f>"31/07/2021"</f>
        <v>31/07/2021</v>
      </c>
      <c r="M1685" t="str">
        <f>""</f>
        <v/>
      </c>
      <c r="N1685" t="str">
        <f>"Trovò s.r.l. Via Idrovora, 3 - 35020 Codevigo (PD)"</f>
        <v>Trovò s.r.l. Via Idrovora, 3 - 35020 Codevigo (PD)</v>
      </c>
      <c r="O1685" t="str">
        <f>"Trovò s.r.l. Via Idrovora, 3 - 35020 Codevigo (PD)"</f>
        <v>Trovò s.r.l. Via Idrovora, 3 - 35020 Codevigo (PD)</v>
      </c>
      <c r="P1685" t="str">
        <f>"ZCA3299CD4: [150.00€ ]"</f>
        <v>ZCA3299CD4: [150.00€ ]</v>
      </c>
      <c r="Q1685" t="str">
        <f>""</f>
        <v/>
      </c>
      <c r="R1685" t="str">
        <f>""</f>
        <v/>
      </c>
      <c r="S1685" t="str">
        <f>""</f>
        <v/>
      </c>
      <c r="T1685" t="str">
        <f>"https://portaletrasparenza.consorziobacchiglione.it/dettagli/attodigara/7028/trasporto-escavatore-cingolato-kubota-da-idrovora-bernio-a-officina-vise-elettrocar-elettrauto.html"</f>
        <v>https://portaletrasparenza.consorziobacchiglione.it/dettagli/attodigara/7028/trasporto-escavatore-cingolato-kubota-da-idrovora-bernio-a-officina-vise-elettrocar-elettrauto.html</v>
      </c>
      <c r="U1685" t="str">
        <f>"https://portaletrasparenza.consorziobacchiglione.it/download/attodigara/7028/63ac45ac691cd.PDF"</f>
        <v>https://portaletrasparenza.consorziobacchiglione.it/download/attodigara/7028/63ac45ac691cd.PDF</v>
      </c>
      <c r="V16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86" spans="1:22" x14ac:dyDescent="0.3">
      <c r="A1686" t="str">
        <f>"Affidamento"</f>
        <v>Affidamento</v>
      </c>
      <c r="B1686" t="str">
        <f>"Incarico di consulenza e assistenza in materia ambientale"</f>
        <v>Incarico di consulenza e assistenza in materia ambientale</v>
      </c>
      <c r="C1686" t="str">
        <f>"Z063298E3D"</f>
        <v>Z063298E3D</v>
      </c>
      <c r="D1686" t="str">
        <f>"27/07/2021"</f>
        <v>27/07/2021</v>
      </c>
      <c r="E1686" t="str">
        <f>""</f>
        <v/>
      </c>
      <c r="F1686" t="str">
        <f>""</f>
        <v/>
      </c>
      <c r="G1686" t="str">
        <f>"3744.00"</f>
        <v>3744.00</v>
      </c>
      <c r="H1686" t="str">
        <f>"Consorzio di bonifica Bacchiglione"</f>
        <v>Consorzio di bonifica Bacchiglione</v>
      </c>
      <c r="I1686" t="str">
        <f>"92223390284"</f>
        <v>92223390284</v>
      </c>
      <c r="J1686" t="str">
        <f>"23-AFFIDAMENTO DIRETTO"</f>
        <v>23-AFFIDAMENTO DIRETTO</v>
      </c>
      <c r="K1686" t="str">
        <f>"27/07/2021"</f>
        <v>27/07/2021</v>
      </c>
      <c r="L1686" t="str">
        <f>"18/07/2022"</f>
        <v>18/07/2022</v>
      </c>
      <c r="M1686" t="str">
        <f>""</f>
        <v/>
      </c>
      <c r="N1686" t="str">
        <f>"Tolomio ing. Riccardo Via P. Liberi, 22 30174 Venezia (VE)"</f>
        <v>Tolomio ing. Riccardo Via P. Liberi, 22 30174 Venezia (VE)</v>
      </c>
      <c r="O1686" t="str">
        <f>"Tolomio ing. Riccardo Via P. Liberi, 22 30174 Venezia (VE)"</f>
        <v>Tolomio ing. Riccardo Via P. Liberi, 22 30174 Venezia (VE)</v>
      </c>
      <c r="P1686" t="str">
        <f>"Z063298E3D: [3425.76€ ]"</f>
        <v>Z063298E3D: [3425.76€ ]</v>
      </c>
      <c r="Q1686" t="str">
        <f>""</f>
        <v/>
      </c>
      <c r="R1686" t="str">
        <f>""</f>
        <v/>
      </c>
      <c r="S1686" t="str">
        <f>""</f>
        <v/>
      </c>
      <c r="T1686" t="str">
        <f>"https://portaletrasparenza.consorziobacchiglione.it/dettagli/attodigara/7026/incarico-di-consulenza-e-assistenza-in-materia-ambientale.html"</f>
        <v>https://portaletrasparenza.consorziobacchiglione.it/dettagli/attodigara/7026/incarico-di-consulenza-e-assistenza-in-materia-ambientale.html</v>
      </c>
      <c r="U1686" t="str">
        <f>"https://portaletrasparenza.consorziobacchiglione.it/download/attodigara/7026/63ac45abec44f.PDF"</f>
        <v>https://portaletrasparenza.consorziobacchiglione.it/download/attodigara/7026/63ac45abec44f.PDF</v>
      </c>
      <c r="V1686">
        <f>(SUBSTITUTE(Tabella1[[#This Row],[Importo di aggiudicazione]],".",","))-(SUBSTITUTE(  SUBSTITUTE(          SUBSTITUTE(Tabella1[[#This Row],[Dettaglio somme liquidate]],Tabella1[[#This Row],[CIG]]&amp;": [",""),"€ ]",""),".",","))</f>
        <v>318.23999999999978</v>
      </c>
    </row>
    <row r="1687" spans="1:22" x14ac:dyDescent="0.3">
      <c r="A1687" t="str">
        <f>"Affidamento"</f>
        <v>Affidamento</v>
      </c>
      <c r="B1687" t="str">
        <f>"Lavori di costruzione nuova recinzione in calcestruzzo presso Botte Tassia per delimitazione dell'area di servizio al nuovo sgrigliatore di futura installazione."</f>
        <v>Lavori di costruzione nuova recinzione in calcestruzzo presso Botte Tassia per delimitazione dell'area di servizio al nuovo sgrigliatore di futura installazione.</v>
      </c>
      <c r="C1687" t="str">
        <f>"Z50329E1EA"</f>
        <v>Z50329E1EA</v>
      </c>
      <c r="D1687" t="str">
        <f>"29/07/2021"</f>
        <v>29/07/2021</v>
      </c>
      <c r="E1687" t="str">
        <f>""</f>
        <v/>
      </c>
      <c r="F1687" t="str">
        <f>""</f>
        <v/>
      </c>
      <c r="G1687" t="str">
        <f>"11500.00"</f>
        <v>11500.00</v>
      </c>
      <c r="H1687" t="str">
        <f>"Consorzio di bonifica Bacchiglione"</f>
        <v>Consorzio di bonifica Bacchiglione</v>
      </c>
      <c r="I1687" t="str">
        <f>"92223390284"</f>
        <v>92223390284</v>
      </c>
      <c r="J1687" t="str">
        <f>"23-AFFIDAMENTO DIRETTO"</f>
        <v>23-AFFIDAMENTO DIRETTO</v>
      </c>
      <c r="K1687" t="str">
        <f>"27/07/2021"</f>
        <v>27/07/2021</v>
      </c>
      <c r="L1687" t="str">
        <f>"15/10/2021"</f>
        <v>15/10/2021</v>
      </c>
      <c r="M1687" t="str">
        <f>""</f>
        <v/>
      </c>
      <c r="N1687" t="str">
        <f>"Edilvi SAS di Viel Dario, Viel Denis E C. Via Idrovora, 4 - 35020 Codevigo (PD)"</f>
        <v>Edilvi SAS di Viel Dario, Viel Denis E C. Via Idrovora, 4 - 35020 Codevigo (PD)</v>
      </c>
      <c r="O1687" t="str">
        <f>"Edilvi SAS di Viel Dario, Viel Denis E C. Via Idrovora, 4 - 35020 Codevigo (PD)"</f>
        <v>Edilvi SAS di Viel Dario, Viel Denis E C. Via Idrovora, 4 - 35020 Codevigo (PD)</v>
      </c>
      <c r="P1687" t="s">
        <v>160</v>
      </c>
      <c r="Q1687" t="str">
        <f>""</f>
        <v/>
      </c>
      <c r="R1687" t="str">
        <f>""</f>
        <v/>
      </c>
      <c r="S1687" t="str">
        <f>""</f>
        <v/>
      </c>
      <c r="T1687" t="str">
        <f>"https://portaletrasparenza.consorziobacchiglione.it/dettagli/attodigara/7040/lavori-di-costruzione-nuova-recinzione-in-calcestruzzo-presso-botte-tassia-per-delimitazione-dell-area-di-servizio-al-nuovo-sgrigliatore-di-futura-installazione.html"</f>
        <v>https://portaletrasparenza.consorziobacchiglione.it/dettagli/attodigara/7040/lavori-di-costruzione-nuova-recinzione-in-calcestruzzo-presso-botte-tassia-per-delimitazione-dell-area-di-servizio-al-nuovo-sgrigliatore-di-futura-installazione.html</v>
      </c>
      <c r="U1687" t="str">
        <f>"https://portaletrasparenza.consorziobacchiglione.it/download/attodigara/7040/63ac45aeb840c.PDF"</f>
        <v>https://portaletrasparenza.consorziobacchiglione.it/download/attodigara/7040/63ac45aeb840c.PDF</v>
      </c>
      <c r="V16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88" spans="1:22" x14ac:dyDescent="0.3">
      <c r="A1688" t="str">
        <f>"Affidamento"</f>
        <v>Affidamento</v>
      </c>
      <c r="B1688" t="str">
        <f>"Manutenzione e riparazione mezzo con targa: FF936PM, AJR631, motopompa J300, motobarca n.7"</f>
        <v>Manutenzione e riparazione mezzo con targa: FF936PM, AJR631, motopompa J300, motobarca n.7</v>
      </c>
      <c r="C1688" t="str">
        <f>"Z12329C089"</f>
        <v>Z12329C089</v>
      </c>
      <c r="D1688" t="str">
        <f>"29/07/2021"</f>
        <v>29/07/2021</v>
      </c>
      <c r="E1688" t="str">
        <f>""</f>
        <v/>
      </c>
      <c r="F1688" t="str">
        <f>""</f>
        <v/>
      </c>
      <c r="G1688" t="str">
        <f>"2190.76"</f>
        <v>2190.76</v>
      </c>
      <c r="H1688" t="str">
        <f>"Consorzio di bonifica Bacchiglione"</f>
        <v>Consorzio di bonifica Bacchiglione</v>
      </c>
      <c r="I1688" t="str">
        <f>"92223390284"</f>
        <v>92223390284</v>
      </c>
      <c r="J1688" t="str">
        <f>"23-AFFIDAMENTO DIRETTO"</f>
        <v>23-AFFIDAMENTO DIRETTO</v>
      </c>
      <c r="K1688" t="str">
        <f>"27/07/2021"</f>
        <v>27/07/2021</v>
      </c>
      <c r="L1688" t="str">
        <f>"24/08/2021"</f>
        <v>24/08/2021</v>
      </c>
      <c r="M1688" t="str">
        <f>""</f>
        <v/>
      </c>
      <c r="N1688" t="str">
        <f>"Negrisolo Officina Meccanica s.a.s. V.le delle Industrie II° strada 13 35025 Cagnola di Cartura PD"</f>
        <v>Negrisolo Officina Meccanica s.a.s. V.le delle Industrie II° strada 13 35025 Cagnola di Cartura PD</v>
      </c>
      <c r="O1688" t="str">
        <f>"Negrisolo Officina Meccanica s.a.s. V.le delle Industrie II° strada 13 35025 Cagnola di Cartura PD"</f>
        <v>Negrisolo Officina Meccanica s.a.s. V.le delle Industrie II° strada 13 35025 Cagnola di Cartura PD</v>
      </c>
      <c r="P1688" t="str">
        <f>"Z12329C089: [2190.76€ ]"</f>
        <v>Z12329C089: [2190.76€ ]</v>
      </c>
      <c r="Q1688" t="str">
        <f>""</f>
        <v/>
      </c>
      <c r="R1688" t="str">
        <f>""</f>
        <v/>
      </c>
      <c r="S1688" t="str">
        <f>""</f>
        <v/>
      </c>
      <c r="T1688" t="str">
        <f>"https://portaletrasparenza.consorziobacchiglione.it/dettagli/attodigara/7038/manutenzione-e-riparazione-mezzo-con-targa-ff936pm-ajr631-motopompa-j300-motobarca-n-7.html"</f>
        <v>https://portaletrasparenza.consorziobacchiglione.it/dettagli/attodigara/7038/manutenzione-e-riparazione-mezzo-con-targa-ff936pm-ajr631-motopompa-j300-motobarca-n-7.html</v>
      </c>
      <c r="U1688" t="str">
        <f>"https://portaletrasparenza.consorziobacchiglione.it/download/attodigara/7038/63ac45aef0ebb.PDF"</f>
        <v>https://portaletrasparenza.consorziobacchiglione.it/download/attodigara/7038/63ac45aef0ebb.PDF</v>
      </c>
      <c r="V168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89" spans="1:22" x14ac:dyDescent="0.3">
      <c r="A1689" t="str">
        <f>"Affidamento"</f>
        <v>Affidamento</v>
      </c>
      <c r="B1689" t="str">
        <f>"Manutenzione e riparazione mezzi con targa: AKV813, motobarca Osma n.1"</f>
        <v>Manutenzione e riparazione mezzi con targa: AKV813, motobarca Osma n.1</v>
      </c>
      <c r="C1689" t="str">
        <f>"Z14329BF1D"</f>
        <v>Z14329BF1D</v>
      </c>
      <c r="D1689" t="str">
        <f>"29/07/2021"</f>
        <v>29/07/2021</v>
      </c>
      <c r="E1689" t="str">
        <f>""</f>
        <v/>
      </c>
      <c r="F1689" t="str">
        <f>""</f>
        <v/>
      </c>
      <c r="G1689" t="str">
        <f>"5406.22"</f>
        <v>5406.22</v>
      </c>
      <c r="H1689" t="str">
        <f>"Consorzio di bonifica Bacchiglione"</f>
        <v>Consorzio di bonifica Bacchiglione</v>
      </c>
      <c r="I1689" t="str">
        <f>"92223390284"</f>
        <v>92223390284</v>
      </c>
      <c r="J1689" t="str">
        <f>"23-AFFIDAMENTO DIRETTO"</f>
        <v>23-AFFIDAMENTO DIRETTO</v>
      </c>
      <c r="K1689" t="str">
        <f>"27/07/2021"</f>
        <v>27/07/2021</v>
      </c>
      <c r="L1689" t="str">
        <f>"04/08/2021"</f>
        <v>04/08/2021</v>
      </c>
      <c r="M1689" t="str">
        <f>""</f>
        <v/>
      </c>
      <c r="N1689" t="str">
        <f>"Officina Biesse S.n.c. Via Matteotti 24 35020 Arzergrande PD"</f>
        <v>Officina Biesse S.n.c. Via Matteotti 24 35020 Arzergrande PD</v>
      </c>
      <c r="O1689" t="str">
        <f>"Officina Biesse S.n.c. Via Matteotti 24 35020 Arzergrande PD"</f>
        <v>Officina Biesse S.n.c. Via Matteotti 24 35020 Arzergrande PD</v>
      </c>
      <c r="P1689" t="str">
        <f>"Z14329BF1D: [5406.22€ ]"</f>
        <v>Z14329BF1D: [5406.22€ ]</v>
      </c>
      <c r="Q1689" t="str">
        <f>""</f>
        <v/>
      </c>
      <c r="R1689" t="str">
        <f>""</f>
        <v/>
      </c>
      <c r="S1689" t="str">
        <f>""</f>
        <v/>
      </c>
      <c r="T1689" t="str">
        <f>"https://portaletrasparenza.consorziobacchiglione.it/dettagli/attodigara/7037/manutenzione-e-riparazione-mezzi-con-targa-akv813-motobarca-osma-n-1.html"</f>
        <v>https://portaletrasparenza.consorziobacchiglione.it/dettagli/attodigara/7037/manutenzione-e-riparazione-mezzi-con-targa-akv813-motobarca-osma-n-1.html</v>
      </c>
      <c r="U1689" t="str">
        <f>"https://portaletrasparenza.consorziobacchiglione.it/download/attodigara/7037/63ac45ae4712d.PDF"</f>
        <v>https://portaletrasparenza.consorziobacchiglione.it/download/attodigara/7037/63ac45ae4712d.PDF</v>
      </c>
      <c r="V16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90" spans="1:22" x14ac:dyDescent="0.3">
      <c r="A1690" t="str">
        <f>"Affidamento"</f>
        <v>Affidamento</v>
      </c>
      <c r="B1690" t="str">
        <f>"Smaltimento dei materiale provenienti dalle operazioni di sgrigliatura"</f>
        <v>Smaltimento dei materiale provenienti dalle operazioni di sgrigliatura</v>
      </c>
      <c r="C1690" t="str">
        <f>"Z99329C491"</f>
        <v>Z99329C491</v>
      </c>
      <c r="D1690" t="str">
        <f>"29/07/2021"</f>
        <v>29/07/2021</v>
      </c>
      <c r="E1690" t="str">
        <f>""</f>
        <v/>
      </c>
      <c r="F1690" t="str">
        <f>""</f>
        <v/>
      </c>
      <c r="G1690" t="str">
        <f>"5000.00"</f>
        <v>5000.00</v>
      </c>
      <c r="H1690" t="str">
        <f>"Consorzio di bonifica Bacchiglione"</f>
        <v>Consorzio di bonifica Bacchiglione</v>
      </c>
      <c r="I1690" t="str">
        <f>"92223390284"</f>
        <v>92223390284</v>
      </c>
      <c r="J1690" t="str">
        <f>"23-AFFIDAMENTO DIRETTO"</f>
        <v>23-AFFIDAMENTO DIRETTO</v>
      </c>
      <c r="K1690" t="str">
        <f>"27/07/2021"</f>
        <v>27/07/2021</v>
      </c>
      <c r="L1690" t="str">
        <f>"20/09/2021"</f>
        <v>20/09/2021</v>
      </c>
      <c r="M1690" t="str">
        <f>""</f>
        <v/>
      </c>
      <c r="N1690" t="str">
        <f>"F.lli Gardin S.R.L. Via Caovilla 16 Saonara PD"</f>
        <v>F.lli Gardin S.R.L. Via Caovilla 16 Saonara PD</v>
      </c>
      <c r="O1690" t="str">
        <f>"F.lli Gardin S.R.L. Via Caovilla 16 Saonara PD"</f>
        <v>F.lli Gardin S.R.L. Via Caovilla 16 Saonara PD</v>
      </c>
      <c r="P1690" t="str">
        <f>"Z99329C491: [4965.40€ ]"</f>
        <v>Z99329C491: [4965.40€ ]</v>
      </c>
      <c r="Q1690" t="str">
        <f>""</f>
        <v/>
      </c>
      <c r="R1690" t="str">
        <f>""</f>
        <v/>
      </c>
      <c r="S1690" t="str">
        <f>""</f>
        <v/>
      </c>
      <c r="T1690" t="str">
        <f>"https://portaletrasparenza.consorziobacchiglione.it/dettagli/attodigara/7039/smaltimento-dei-materiale-provenienti-dalle-operazioni-di-sgrigliatura.html"</f>
        <v>https://portaletrasparenza.consorziobacchiglione.it/dettagli/attodigara/7039/smaltimento-dei-materiale-provenienti-dalle-operazioni-di-sgrigliatura.html</v>
      </c>
      <c r="U1690" t="str">
        <f>"https://portaletrasparenza.consorziobacchiglione.it/download/attodigara/7039/63ac45ae7fac7.PDF"</f>
        <v>https://portaletrasparenza.consorziobacchiglione.it/download/attodigara/7039/63ac45ae7fac7.PDF</v>
      </c>
      <c r="V1690">
        <f>(SUBSTITUTE(Tabella1[[#This Row],[Importo di aggiudicazione]],".",","))-(SUBSTITUTE(  SUBSTITUTE(          SUBSTITUTE(Tabella1[[#This Row],[Dettaglio somme liquidate]],Tabella1[[#This Row],[CIG]]&amp;": [",""),"€ ]",""),".",","))</f>
        <v>34.600000000000364</v>
      </c>
    </row>
    <row r="1691" spans="1:22" x14ac:dyDescent="0.3">
      <c r="A1691" t="str">
        <f>"Affidamento"</f>
        <v>Affidamento</v>
      </c>
      <c r="B1691" t="str">
        <f>"Trasporto trattore Valtra con targa AKS681 da scolo Scirocchetto a Officina Biesse"</f>
        <v>Trasporto trattore Valtra con targa AKS681 da scolo Scirocchetto a Officina Biesse</v>
      </c>
      <c r="C1691" t="str">
        <f>"ZDB32DA8DD"</f>
        <v>ZDB32DA8DD</v>
      </c>
      <c r="D1691" t="str">
        <f>"31/08/2021"</f>
        <v>31/08/2021</v>
      </c>
      <c r="E1691" t="str">
        <f>""</f>
        <v/>
      </c>
      <c r="F1691" t="str">
        <f>""</f>
        <v/>
      </c>
      <c r="G1691" t="str">
        <f>"150.00"</f>
        <v>150.00</v>
      </c>
      <c r="H1691" t="str">
        <f>"Consorzio di bonifica Bacchiglione"</f>
        <v>Consorzio di bonifica Bacchiglione</v>
      </c>
      <c r="I1691" t="str">
        <f>"92223390284"</f>
        <v>92223390284</v>
      </c>
      <c r="J1691" t="str">
        <f>"23-AFFIDAMENTO DIRETTO"</f>
        <v>23-AFFIDAMENTO DIRETTO</v>
      </c>
      <c r="K1691" t="str">
        <f>"27/08/2021"</f>
        <v>27/08/2021</v>
      </c>
      <c r="L1691" t="str">
        <f>"31/08/2021"</f>
        <v>31/08/2021</v>
      </c>
      <c r="M1691" t="str">
        <f>""</f>
        <v/>
      </c>
      <c r="N1691" t="str">
        <f>"Trovò s.r.l. Via Idrovora, 3 - 35020 Codevigo (PD)"</f>
        <v>Trovò s.r.l. Via Idrovora, 3 - 35020 Codevigo (PD)</v>
      </c>
      <c r="O1691" t="str">
        <f>"Trovò s.r.l. Via Idrovora, 3 - 35020 Codevigo (PD)"</f>
        <v>Trovò s.r.l. Via Idrovora, 3 - 35020 Codevigo (PD)</v>
      </c>
      <c r="P1691" t="str">
        <f>"ZDB32DA8DD: [150.00€ ]"</f>
        <v>ZDB32DA8DD: [150.00€ ]</v>
      </c>
      <c r="Q1691" t="str">
        <f>""</f>
        <v/>
      </c>
      <c r="R1691" t="str">
        <f>""</f>
        <v/>
      </c>
      <c r="S1691" t="str">
        <f>""</f>
        <v/>
      </c>
      <c r="T1691" t="str">
        <f>"https://portaletrasparenza.consorziobacchiglione.it/dettagli/attodigara/7091/trasporto-trattore-valtra-con-targa-aks681-da-scolo-scirocchetto-a-officina-biesse.html"</f>
        <v>https://portaletrasparenza.consorziobacchiglione.it/dettagli/attodigara/7091/trasporto-trattore-valtra-con-targa-aks681-da-scolo-scirocchetto-a-officina-biesse.html</v>
      </c>
      <c r="U1691" t="str">
        <f>"https://portaletrasparenza.consorziobacchiglione.it/download/attodigara/7091/63ac45bb021d0.PDF"</f>
        <v>https://portaletrasparenza.consorziobacchiglione.it/download/attodigara/7091/63ac45bb021d0.PDF</v>
      </c>
      <c r="V16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92" spans="1:22" x14ac:dyDescent="0.3">
      <c r="A1692" t="str">
        <f>"Affidamento"</f>
        <v>Affidamento</v>
      </c>
      <c r="B1692" t="str">
        <f>"Trasporto escavatore cingolato a noleggio da scolo Colognetta a scolo Menona"</f>
        <v>Trasporto escavatore cingolato a noleggio da scolo Colognetta a scolo Menona</v>
      </c>
      <c r="C1692" t="str">
        <f>"ZA932DA822"</f>
        <v>ZA932DA822</v>
      </c>
      <c r="D1692" t="str">
        <f>"31/08/2021"</f>
        <v>31/08/2021</v>
      </c>
      <c r="E1692" t="str">
        <f>""</f>
        <v/>
      </c>
      <c r="F1692" t="str">
        <f>""</f>
        <v/>
      </c>
      <c r="G1692" t="str">
        <f>"210.00"</f>
        <v>210.00</v>
      </c>
      <c r="H1692" t="str">
        <f>"Consorzio di bonifica Bacchiglione"</f>
        <v>Consorzio di bonifica Bacchiglione</v>
      </c>
      <c r="I1692" t="str">
        <f>"92223390284"</f>
        <v>92223390284</v>
      </c>
      <c r="J1692" t="str">
        <f>"23-AFFIDAMENTO DIRETTO"</f>
        <v>23-AFFIDAMENTO DIRETTO</v>
      </c>
      <c r="K1692" t="str">
        <f>"27/08/2021"</f>
        <v>27/08/2021</v>
      </c>
      <c r="L1692" t="str">
        <f>"31/08/2021"</f>
        <v>31/08/2021</v>
      </c>
      <c r="M1692" t="str">
        <f>""</f>
        <v/>
      </c>
      <c r="N1692" t="str">
        <f>"Trovò s.r.l. Via Idrovora, 3 - 35020 Codevigo (PD)"</f>
        <v>Trovò s.r.l. Via Idrovora, 3 - 35020 Codevigo (PD)</v>
      </c>
      <c r="O1692" t="str">
        <f>"Trovò s.r.l. Via Idrovora, 3 - 35020 Codevigo (PD)"</f>
        <v>Trovò s.r.l. Via Idrovora, 3 - 35020 Codevigo (PD)</v>
      </c>
      <c r="P1692" t="str">
        <f>"ZA932DA822: [210.00€ ]"</f>
        <v>ZA932DA822: [210.00€ ]</v>
      </c>
      <c r="Q1692" t="str">
        <f>""</f>
        <v/>
      </c>
      <c r="R1692" t="str">
        <f>""</f>
        <v/>
      </c>
      <c r="S1692" t="str">
        <f>""</f>
        <v/>
      </c>
      <c r="T1692" t="str">
        <f>"https://portaletrasparenza.consorziobacchiglione.it/dettagli/attodigara/7090/trasporto-escavatore-cingolato-a-noleggio-da-scolo-colognetta-a-scolo-menona.html"</f>
        <v>https://portaletrasparenza.consorziobacchiglione.it/dettagli/attodigara/7090/trasporto-escavatore-cingolato-a-noleggio-da-scolo-colognetta-a-scolo-menona.html</v>
      </c>
      <c r="U1692" t="str">
        <f>"https://portaletrasparenza.consorziobacchiglione.it/download/attodigara/7090/63ac45babd752.PDF"</f>
        <v>https://portaletrasparenza.consorziobacchiglione.it/download/attodigara/7090/63ac45babd752.PDF</v>
      </c>
      <c r="V169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93" spans="1:22" x14ac:dyDescent="0.3">
      <c r="A1693" t="str">
        <f>"Affidamento"</f>
        <v>Affidamento</v>
      </c>
      <c r="B1693" t="str">
        <f>"Fornitura n.240 paia di guanti in pelle Deltaplus per personale Consorziale"</f>
        <v>Fornitura n.240 paia di guanti in pelle Deltaplus per personale Consorziale</v>
      </c>
      <c r="C1693" t="str">
        <f>"Z7632DA336"</f>
        <v>Z7632DA336</v>
      </c>
      <c r="D1693" t="str">
        <f>"31/08/2021"</f>
        <v>31/08/2021</v>
      </c>
      <c r="E1693" t="str">
        <f>""</f>
        <v/>
      </c>
      <c r="F1693" t="str">
        <f>""</f>
        <v/>
      </c>
      <c r="G1693" t="str">
        <f>"672.00"</f>
        <v>672.00</v>
      </c>
      <c r="H1693" t="str">
        <f>"Consorzio di bonifica Bacchiglione"</f>
        <v>Consorzio di bonifica Bacchiglione</v>
      </c>
      <c r="I1693" t="str">
        <f>"92223390284"</f>
        <v>92223390284</v>
      </c>
      <c r="J1693" t="str">
        <f>"23-AFFIDAMENTO DIRETTO"</f>
        <v>23-AFFIDAMENTO DIRETTO</v>
      </c>
      <c r="K1693" t="str">
        <f>"27/08/2021"</f>
        <v>27/08/2021</v>
      </c>
      <c r="L1693" t="str">
        <f>"14/10/2021"</f>
        <v>14/10/2021</v>
      </c>
      <c r="M1693" t="str">
        <f>""</f>
        <v/>
      </c>
      <c r="N1693" t="str">
        <f>"Chinello antinfortunistica via Padana 34 Z.I. Vigorovea di S.Angelo di Piove di Sacco PD"</f>
        <v>Chinello antinfortunistica via Padana 34 Z.I. Vigorovea di S.Angelo di Piove di Sacco PD</v>
      </c>
      <c r="O1693" t="str">
        <f>"Chinello antinfortunistica via Padana 34 Z.I. Vigorovea di S.Angelo di Piove di Sacco PD"</f>
        <v>Chinello antinfortunistica via Padana 34 Z.I. Vigorovea di S.Angelo di Piove di Sacco PD</v>
      </c>
      <c r="P1693" t="str">
        <f>"Z7632DA336: [672.00€ ]"</f>
        <v>Z7632DA336: [672.00€ ]</v>
      </c>
      <c r="Q1693" t="str">
        <f>""</f>
        <v/>
      </c>
      <c r="R1693" t="str">
        <f>""</f>
        <v/>
      </c>
      <c r="S1693" t="str">
        <f>""</f>
        <v/>
      </c>
      <c r="T1693" t="str">
        <f>"https://portaletrasparenza.consorziobacchiglione.it/dettagli/attodigara/7089/fornitura-n-240-paia-di-guanti-in-pelle-deltaplus-per-personale-consorziale.html"</f>
        <v>https://portaletrasparenza.consorziobacchiglione.it/dettagli/attodigara/7089/fornitura-n-240-paia-di-guanti-in-pelle-deltaplus-per-personale-consorziale.html</v>
      </c>
      <c r="U1693" t="str">
        <f>"https://portaletrasparenza.consorziobacchiglione.it/download/attodigara/7089/63ac45ba84d40.PDF"</f>
        <v>https://portaletrasparenza.consorziobacchiglione.it/download/attodigara/7089/63ac45ba84d40.PDF</v>
      </c>
      <c r="V16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94" spans="1:22" x14ac:dyDescent="0.3">
      <c r="A1694" t="str">
        <f>"Affidamento"</f>
        <v>Affidamento</v>
      </c>
      <c r="B1694" t="str">
        <f>"Manutenzione ,riparazione e revisione mezzo con targa: DS717AA."</f>
        <v>Manutenzione ,riparazione e revisione mezzo con targa: DS717AA.</v>
      </c>
      <c r="C1694" t="str">
        <f>"Z231B57BA2"</f>
        <v>Z231B57BA2</v>
      </c>
      <c r="D1694" t="str">
        <f>"04/11/2021"</f>
        <v>04/11/2021</v>
      </c>
      <c r="E1694" t="str">
        <f>""</f>
        <v/>
      </c>
      <c r="F1694" t="str">
        <f>""</f>
        <v/>
      </c>
      <c r="G1694" t="str">
        <f>"611.04"</f>
        <v>611.04</v>
      </c>
      <c r="H1694" t="str">
        <f>"Consorzio di bonifica Bacchiglione"</f>
        <v>Consorzio di bonifica Bacchiglione</v>
      </c>
      <c r="I1694" t="str">
        <f>"92223390284"</f>
        <v>92223390284</v>
      </c>
      <c r="J1694" t="str">
        <f>"23-AFFIDAMENTO DIRETTO"</f>
        <v>23-AFFIDAMENTO DIRETTO</v>
      </c>
      <c r="K1694" t="str">
        <f>"27/09/2021"</f>
        <v>27/09/2021</v>
      </c>
      <c r="L1694" t="str">
        <f>"09/11/2021"</f>
        <v>09/11/2021</v>
      </c>
      <c r="M1694" t="str">
        <f>""</f>
        <v/>
      </c>
      <c r="N1694" t="str">
        <f>"Elettrodiesel Peruzzo s.r.l. Via Tevere 30 35135 Padova"</f>
        <v>Elettrodiesel Peruzzo s.r.l. Via Tevere 30 35135 Padova</v>
      </c>
      <c r="O1694" t="str">
        <f>"Elettrodiesel Peruzzo s.r.l. Via Tevere 30 35135 Padova"</f>
        <v>Elettrodiesel Peruzzo s.r.l. Via Tevere 30 35135 Padova</v>
      </c>
      <c r="P1694" t="s">
        <v>359</v>
      </c>
      <c r="Q1694" t="str">
        <f>""</f>
        <v/>
      </c>
      <c r="R1694" t="str">
        <f>""</f>
        <v/>
      </c>
      <c r="S1694" t="str">
        <f>""</f>
        <v/>
      </c>
      <c r="T1694" t="str">
        <f>"https://portaletrasparenza.consorziobacchiglione.it/dettagli/attodigara/769/manutenzione-riparazione-e-revisione-mezzo-con-targa-ds717aa.html"</f>
        <v>https://portaletrasparenza.consorziobacchiglione.it/dettagli/attodigara/769/manutenzione-riparazione-e-revisione-mezzo-con-targa-ds717aa.html</v>
      </c>
      <c r="U1694" t="str">
        <f>""</f>
        <v/>
      </c>
      <c r="V169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95" spans="1:22" x14ac:dyDescent="0.3">
      <c r="A1695" t="str">
        <f>"Affidamento"</f>
        <v>Affidamento</v>
      </c>
      <c r="B1695" t="str">
        <f>"Fornitura Router Firewall per internet e pannello Patch per rete secondo piano Sede."</f>
        <v>Fornitura Router Firewall per internet e pannello Patch per rete secondo piano Sede.</v>
      </c>
      <c r="C1695" t="str">
        <f>"ZF41B585E2"</f>
        <v>ZF41B585E2</v>
      </c>
      <c r="D1695" t="str">
        <f>"04/11/2021"</f>
        <v>04/11/2021</v>
      </c>
      <c r="E1695" t="str">
        <f>""</f>
        <v/>
      </c>
      <c r="F1695" t="str">
        <f>""</f>
        <v/>
      </c>
      <c r="G1695" t="str">
        <f>"1505.20"</f>
        <v>1505.20</v>
      </c>
      <c r="H1695" t="str">
        <f>"Consorzio di bonifica Bacchiglione"</f>
        <v>Consorzio di bonifica Bacchiglione</v>
      </c>
      <c r="I1695" t="str">
        <f>"92223390284"</f>
        <v>92223390284</v>
      </c>
      <c r="J1695" t="str">
        <f>"23-AFFIDAMENTO DIRETTO"</f>
        <v>23-AFFIDAMENTO DIRETTO</v>
      </c>
      <c r="K1695" t="str">
        <f>"27/09/2021"</f>
        <v>27/09/2021</v>
      </c>
      <c r="L1695" t="str">
        <f>"14/10/2021"</f>
        <v>14/10/2021</v>
      </c>
      <c r="M1695" t="str">
        <f>""</f>
        <v/>
      </c>
      <c r="N1695" t="str">
        <f>"TPH Elettronica s.a.s. Via N. Pizzolo 51A 35132 Padova"</f>
        <v>TPH Elettronica s.a.s. Via N. Pizzolo 51A 35132 Padova</v>
      </c>
      <c r="O1695" t="str">
        <f>"TPH Elettronica s.a.s. Via N. Pizzolo 51A 35132 Padova"</f>
        <v>TPH Elettronica s.a.s. Via N. Pizzolo 51A 35132 Padova</v>
      </c>
      <c r="P1695" t="str">
        <f>"ZF41B585E2: [1505.20€ ]"</f>
        <v>ZF41B585E2: [1505.20€ ]</v>
      </c>
      <c r="Q1695" t="str">
        <f>""</f>
        <v/>
      </c>
      <c r="R1695" t="str">
        <f>""</f>
        <v/>
      </c>
      <c r="S1695" t="str">
        <f>""</f>
        <v/>
      </c>
      <c r="T1695" t="str">
        <f>"https://portaletrasparenza.consorziobacchiglione.it/dettagli/attodigara/777/fornitura-router-firewall-per-internet-e-pannello-patch-per-rete-secondo-piano-sede.html"</f>
        <v>https://portaletrasparenza.consorziobacchiglione.it/dettagli/attodigara/777/fornitura-router-firewall-per-internet-e-pannello-patch-per-rete-secondo-piano-sede.html</v>
      </c>
      <c r="U1695" t="str">
        <f>""</f>
        <v/>
      </c>
      <c r="V169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96" spans="1:22" x14ac:dyDescent="0.3">
      <c r="A1696" t="str">
        <f>"Affidamento"</f>
        <v>Affidamento</v>
      </c>
      <c r="B1696" t="str">
        <f>"Fornitura lame per sgrigliatore Idrovora Lova e Bernio."</f>
        <v>Fornitura lame per sgrigliatore Idrovora Lova e Bernio.</v>
      </c>
      <c r="C1696" t="str">
        <f>"ZEE1B5853F"</f>
        <v>ZEE1B5853F</v>
      </c>
      <c r="D1696" t="str">
        <f>"04/11/2021"</f>
        <v>04/11/2021</v>
      </c>
      <c r="E1696" t="str">
        <f>""</f>
        <v/>
      </c>
      <c r="F1696" t="str">
        <f>""</f>
        <v/>
      </c>
      <c r="G1696" t="str">
        <f>"1150.00"</f>
        <v>1150.00</v>
      </c>
      <c r="H1696" t="str">
        <f>"Consorzio di bonifica Bacchiglione"</f>
        <v>Consorzio di bonifica Bacchiglione</v>
      </c>
      <c r="I1696" t="str">
        <f>"92223390284"</f>
        <v>92223390284</v>
      </c>
      <c r="J1696" t="str">
        <f>"23-AFFIDAMENTO DIRETTO"</f>
        <v>23-AFFIDAMENTO DIRETTO</v>
      </c>
      <c r="K1696" t="str">
        <f>"27/09/2021"</f>
        <v>27/09/2021</v>
      </c>
      <c r="L1696" t="str">
        <f>"30/11/2021"</f>
        <v>30/11/2021</v>
      </c>
      <c r="M1696" t="str">
        <f>""</f>
        <v/>
      </c>
      <c r="N1696" t="str">
        <f>"Officina Biesse S.n.c. Via Matteotti 24 35020 Arzergrande PD"</f>
        <v>Officina Biesse S.n.c. Via Matteotti 24 35020 Arzergrande PD</v>
      </c>
      <c r="O1696" t="str">
        <f>"Officina Biesse S.n.c. Via Matteotti 24 35020 Arzergrande PD"</f>
        <v>Officina Biesse S.n.c. Via Matteotti 24 35020 Arzergrande PD</v>
      </c>
      <c r="P1696" t="str">
        <f>"ZEE1B5853F: [1150.00€ ]"</f>
        <v>ZEE1B5853F: [1150.00€ ]</v>
      </c>
      <c r="Q1696" t="str">
        <f>""</f>
        <v/>
      </c>
      <c r="R1696" t="str">
        <f>""</f>
        <v/>
      </c>
      <c r="S1696" t="str">
        <f>""</f>
        <v/>
      </c>
      <c r="T1696" t="str">
        <f>"https://portaletrasparenza.consorziobacchiglione.it/dettagli/attodigara/776/fornitura-lame-per-sgrigliatore-idrovora-lova-e-bernio.html"</f>
        <v>https://portaletrasparenza.consorziobacchiglione.it/dettagli/attodigara/776/fornitura-lame-per-sgrigliatore-idrovora-lova-e-bernio.html</v>
      </c>
      <c r="U1696" t="str">
        <f>""</f>
        <v/>
      </c>
      <c r="V169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97" spans="1:22" x14ac:dyDescent="0.3">
      <c r="A1697" t="str">
        <f>"Affidamento"</f>
        <v>Affidamento</v>
      </c>
      <c r="B1697" t="str">
        <f>"Lavaggio elettropompa Idrovora Tabacchin e pompe sommergibili della Flygt fornite dalla Protezione Civile."</f>
        <v>Lavaggio elettropompa Idrovora Tabacchin e pompe sommergibili della Flygt fornite dalla Protezione Civile.</v>
      </c>
      <c r="C1697" t="str">
        <f>"ZA21B5845F"</f>
        <v>ZA21B5845F</v>
      </c>
      <c r="D1697" t="str">
        <f>"04/11/2021"</f>
        <v>04/11/2021</v>
      </c>
      <c r="E1697" t="str">
        <f>""</f>
        <v/>
      </c>
      <c r="F1697" t="str">
        <f>""</f>
        <v/>
      </c>
      <c r="G1697" t="str">
        <f>"325.00"</f>
        <v>325.00</v>
      </c>
      <c r="H1697" t="str">
        <f>"Consorzio di bonifica Bacchiglione"</f>
        <v>Consorzio di bonifica Bacchiglione</v>
      </c>
      <c r="I1697" t="str">
        <f>"92223390284"</f>
        <v>92223390284</v>
      </c>
      <c r="J1697" t="str">
        <f>"23-AFFIDAMENTO DIRETTO"</f>
        <v>23-AFFIDAMENTO DIRETTO</v>
      </c>
      <c r="K1697" t="str">
        <f>"27/09/2021"</f>
        <v>27/09/2021</v>
      </c>
      <c r="L1697" t="str">
        <f>"01/02/2021"</f>
        <v>01/02/2021</v>
      </c>
      <c r="M1697" t="str">
        <f>""</f>
        <v/>
      </c>
      <c r="N1697" t="str">
        <f>"Officina Biesse S.n.c. Via Matteotti 24 35020 Arzergrande PD"</f>
        <v>Officina Biesse S.n.c. Via Matteotti 24 35020 Arzergrande PD</v>
      </c>
      <c r="O1697" t="str">
        <f>"Officina Biesse S.n.c. Via Matteotti 24 35020 Arzergrande PD"</f>
        <v>Officina Biesse S.n.c. Via Matteotti 24 35020 Arzergrande PD</v>
      </c>
      <c r="P1697" t="str">
        <f>"ZA21B5845F: [325.00€ ]"</f>
        <v>ZA21B5845F: [325.00€ ]</v>
      </c>
      <c r="Q1697" t="str">
        <f>""</f>
        <v/>
      </c>
      <c r="R1697" t="str">
        <f>""</f>
        <v/>
      </c>
      <c r="S1697" t="str">
        <f>""</f>
        <v/>
      </c>
      <c r="T1697" t="str">
        <f>"https://portaletrasparenza.consorziobacchiglione.it/dettagli/attodigara/775/lavaggio-elettropompa-idrovora-tabacchin-e-pompe-sommergibili-della-flygt-fornite-dalla-protezione-civile.html"</f>
        <v>https://portaletrasparenza.consorziobacchiglione.it/dettagli/attodigara/775/lavaggio-elettropompa-idrovora-tabacchin-e-pompe-sommergibili-della-flygt-fornite-dalla-protezione-civile.html</v>
      </c>
      <c r="U1697" t="str">
        <f>""</f>
        <v/>
      </c>
      <c r="V16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98" spans="1:22" x14ac:dyDescent="0.3">
      <c r="A1698" t="str">
        <f>"Affidamento"</f>
        <v>Affidamento</v>
      </c>
      <c r="B1698" t="str">
        <f>"Riparazione e manutenzione inverter Vacon EP3 Idrovora Baldon."</f>
        <v>Riparazione e manutenzione inverter Vacon EP3 Idrovora Baldon.</v>
      </c>
      <c r="C1698" t="str">
        <f>"Z511B57E3A"</f>
        <v>Z511B57E3A</v>
      </c>
      <c r="D1698" t="str">
        <f>"04/11/2021"</f>
        <v>04/11/2021</v>
      </c>
      <c r="E1698" t="str">
        <f>""</f>
        <v/>
      </c>
      <c r="F1698" t="str">
        <f>""</f>
        <v/>
      </c>
      <c r="G1698" t="str">
        <f>"6019.00"</f>
        <v>6019.00</v>
      </c>
      <c r="H1698" t="str">
        <f>"Consorzio di bonifica Bacchiglione"</f>
        <v>Consorzio di bonifica Bacchiglione</v>
      </c>
      <c r="I1698" t="str">
        <f>"92223390284"</f>
        <v>92223390284</v>
      </c>
      <c r="J1698" t="str">
        <f>"23-AFFIDAMENTO DIRETTO"</f>
        <v>23-AFFIDAMENTO DIRETTO</v>
      </c>
      <c r="K1698" t="str">
        <f>"27/09/2021"</f>
        <v>27/09/2021</v>
      </c>
      <c r="L1698" t="str">
        <f>"15/11/2021"</f>
        <v>15/11/2021</v>
      </c>
      <c r="M1698" t="str">
        <f>""</f>
        <v/>
      </c>
      <c r="N1698" t="str">
        <f>"Servizi Tecnologici S.r.l.Via Casa Cucchi, 9 - 37024 Negrar di Valpolicella (VR)"</f>
        <v>Servizi Tecnologici S.r.l.Via Casa Cucchi, 9 - 37024 Negrar di Valpolicella (VR)</v>
      </c>
      <c r="O1698" t="str">
        <f>"Servizi Tecnologici S.r.l.Via Casa Cucchi, 9 - 37024 Negrar di Valpolicella (VR)"</f>
        <v>Servizi Tecnologici S.r.l.Via Casa Cucchi, 9 - 37024 Negrar di Valpolicella (VR)</v>
      </c>
      <c r="P1698" t="str">
        <f>"Z511B57E3A: [6019.00€ ]"</f>
        <v>Z511B57E3A: [6019.00€ ]</v>
      </c>
      <c r="Q1698" t="str">
        <f>""</f>
        <v/>
      </c>
      <c r="R1698" t="str">
        <f>""</f>
        <v/>
      </c>
      <c r="S1698" t="str">
        <f>""</f>
        <v/>
      </c>
      <c r="T1698" t="str">
        <f>"https://portaletrasparenza.consorziobacchiglione.it/dettagli/attodigara/772/riparazione-e-manutenzione-inverter-vacon-ep3-idrovora-baldon.html"</f>
        <v>https://portaletrasparenza.consorziobacchiglione.it/dettagli/attodigara/772/riparazione-e-manutenzione-inverter-vacon-ep3-idrovora-baldon.html</v>
      </c>
      <c r="U1698" t="str">
        <f>""</f>
        <v/>
      </c>
      <c r="V16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699" spans="1:22" x14ac:dyDescent="0.3">
      <c r="A1699" t="str">
        <f>"Affidamento"</f>
        <v>Affidamento</v>
      </c>
      <c r="B1699" t="str">
        <f>"Fornitura n 4 pneumatici per mezzo con targa: DS716AA"</f>
        <v>Fornitura n 4 pneumatici per mezzo con targa: DS716AA</v>
      </c>
      <c r="C1699" t="str">
        <f>"Z811B57D70"</f>
        <v>Z811B57D70</v>
      </c>
      <c r="D1699" t="str">
        <f>"04/11/2021"</f>
        <v>04/11/2021</v>
      </c>
      <c r="E1699" t="str">
        <f>""</f>
        <v/>
      </c>
      <c r="F1699" t="str">
        <f>""</f>
        <v/>
      </c>
      <c r="G1699" t="str">
        <f>"209.20"</f>
        <v>209.20</v>
      </c>
      <c r="H1699" t="str">
        <f>"Consorzio di bonifica Bacchiglione"</f>
        <v>Consorzio di bonifica Bacchiglione</v>
      </c>
      <c r="I1699" t="str">
        <f>"92223390284"</f>
        <v>92223390284</v>
      </c>
      <c r="J1699" t="str">
        <f>"23-AFFIDAMENTO DIRETTO"</f>
        <v>23-AFFIDAMENTO DIRETTO</v>
      </c>
      <c r="K1699" t="str">
        <f>"27/09/2021"</f>
        <v>27/09/2021</v>
      </c>
      <c r="L1699" t="str">
        <f>"03/01/2021"</f>
        <v>03/01/2021</v>
      </c>
      <c r="M1699" t="str">
        <f>""</f>
        <v/>
      </c>
      <c r="N1699" t="str">
        <f>"Galesso Roberto Via San Rocco 52B 35028 Piove di Sacco PD"</f>
        <v>Galesso Roberto Via San Rocco 52B 35028 Piove di Sacco PD</v>
      </c>
      <c r="O1699" t="str">
        <f>"Galesso Roberto Via San Rocco 52B 35028 Piove di Sacco PD"</f>
        <v>Galesso Roberto Via San Rocco 52B 35028 Piove di Sacco PD</v>
      </c>
      <c r="P1699" t="str">
        <f>"Z811B57D70: [209.20€ ]"</f>
        <v>Z811B57D70: [209.20€ ]</v>
      </c>
      <c r="Q1699" t="str">
        <f>""</f>
        <v/>
      </c>
      <c r="R1699" t="str">
        <f>""</f>
        <v/>
      </c>
      <c r="S1699" t="str">
        <f>""</f>
        <v/>
      </c>
      <c r="T1699" t="str">
        <f>"https://portaletrasparenza.consorziobacchiglione.it/dettagli/attodigara/771/fornitura-n-4-pneumatici-per-mezzo-con-targa-ds716aa.html"</f>
        <v>https://portaletrasparenza.consorziobacchiglione.it/dettagli/attodigara/771/fornitura-n-4-pneumatici-per-mezzo-con-targa-ds716aa.html</v>
      </c>
      <c r="U1699" t="str">
        <f>""</f>
        <v/>
      </c>
      <c r="V16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00" spans="1:22" x14ac:dyDescent="0.3">
      <c r="A1700" t="str">
        <f>"Affidamento"</f>
        <v>Affidamento</v>
      </c>
      <c r="B1700" t="str">
        <f>"Riparazione motosega Sthil n.8 C.O.S.Margherita."</f>
        <v>Riparazione motosega Sthil n.8 C.O.S.Margherita.</v>
      </c>
      <c r="C1700" t="str">
        <f>"Z7B1B57CCD"</f>
        <v>Z7B1B57CCD</v>
      </c>
      <c r="D1700" t="str">
        <f>"04/11/2021"</f>
        <v>04/11/2021</v>
      </c>
      <c r="E1700" t="str">
        <f>""</f>
        <v/>
      </c>
      <c r="F1700" t="str">
        <f>""</f>
        <v/>
      </c>
      <c r="G1700" t="str">
        <f>"63.11"</f>
        <v>63.11</v>
      </c>
      <c r="H1700" t="str">
        <f>"Consorzio di bonifica Bacchiglione"</f>
        <v>Consorzio di bonifica Bacchiglione</v>
      </c>
      <c r="I1700" t="str">
        <f>"92223390284"</f>
        <v>92223390284</v>
      </c>
      <c r="J1700" t="str">
        <f>"23-AFFIDAMENTO DIRETTO"</f>
        <v>23-AFFIDAMENTO DIRETTO</v>
      </c>
      <c r="K1700" t="str">
        <f>"27/09/2021"</f>
        <v>27/09/2021</v>
      </c>
      <c r="L1700" t="str">
        <f>"15/11/2021"</f>
        <v>15/11/2021</v>
      </c>
      <c r="M1700" t="str">
        <f>""</f>
        <v/>
      </c>
      <c r="N1700" t="str">
        <f>"Frizzarin Riccardo Via Papa Giovanni XXXIII 20 35026 Conselve PD"</f>
        <v>Frizzarin Riccardo Via Papa Giovanni XXXIII 20 35026 Conselve PD</v>
      </c>
      <c r="O1700" t="str">
        <f>"Frizzarin Riccardo Via Papa Giovanni XXXIII 20 35026 Conselve PD"</f>
        <v>Frizzarin Riccardo Via Papa Giovanni XXXIII 20 35026 Conselve PD</v>
      </c>
      <c r="P1700" t="str">
        <f>"Z7B1B57CCD: [63.11€ ]"</f>
        <v>Z7B1B57CCD: [63.11€ ]</v>
      </c>
      <c r="Q1700" t="str">
        <f>""</f>
        <v/>
      </c>
      <c r="R1700" t="str">
        <f>""</f>
        <v/>
      </c>
      <c r="S1700" t="str">
        <f>""</f>
        <v/>
      </c>
      <c r="T1700" t="str">
        <f>"https://portaletrasparenza.consorziobacchiglione.it/dettagli/attodigara/770/riparazione-motosega-sthil-n-8-c-o-s-margherita.html"</f>
        <v>https://portaletrasparenza.consorziobacchiglione.it/dettagli/attodigara/770/riparazione-motosega-sthil-n-8-c-o-s-margherita.html</v>
      </c>
      <c r="U1700" t="str">
        <f>""</f>
        <v/>
      </c>
      <c r="V17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01" spans="1:22" x14ac:dyDescent="0.3">
      <c r="A1701" t="str">
        <f>"Affidamento"</f>
        <v>Affidamento</v>
      </c>
      <c r="B1701" t="str">
        <f>"Riparazione e manutenzione mezzi con targa: PDAH662, AGK711, PDAF496, PDAH521, Motobarca n 1 - 2 - 6."</f>
        <v>Riparazione e manutenzione mezzi con targa: PDAH662, AGK711, PDAF496, PDAH521, Motobarca n 1 - 2 - 6.</v>
      </c>
      <c r="C1701" t="str">
        <f>"Z7F1B581CD"</f>
        <v>Z7F1B581CD</v>
      </c>
      <c r="D1701" t="str">
        <f>"04/11/2021"</f>
        <v>04/11/2021</v>
      </c>
      <c r="E1701" t="str">
        <f>""</f>
        <v/>
      </c>
      <c r="F1701" t="str">
        <f>""</f>
        <v/>
      </c>
      <c r="G1701" t="str">
        <f>"8039.83"</f>
        <v>8039.83</v>
      </c>
      <c r="H1701" t="str">
        <f>"Consorzio di bonifica Bacchiglione"</f>
        <v>Consorzio di bonifica Bacchiglione</v>
      </c>
      <c r="I1701" t="str">
        <f>"92223390284"</f>
        <v>92223390284</v>
      </c>
      <c r="J1701" t="str">
        <f>"23-AFFIDAMENTO DIRETTO"</f>
        <v>23-AFFIDAMENTO DIRETTO</v>
      </c>
      <c r="K1701" t="str">
        <f>"27/09/2021"</f>
        <v>27/09/2021</v>
      </c>
      <c r="L1701" t="str">
        <f>"25/01/2021"</f>
        <v>25/01/2021</v>
      </c>
      <c r="M1701" t="str">
        <f>""</f>
        <v/>
      </c>
      <c r="N1701" t="str">
        <f>"Officina Biesse S.n.c. Via Matteotti 24 35020 Arzergrande PD"</f>
        <v>Officina Biesse S.n.c. Via Matteotti 24 35020 Arzergrande PD</v>
      </c>
      <c r="O1701" t="str">
        <f>"Officina Biesse S.n.c. Via Matteotti 24 35020 Arzergrande PD"</f>
        <v>Officina Biesse S.n.c. Via Matteotti 24 35020 Arzergrande PD</v>
      </c>
      <c r="P1701" t="str">
        <f>"Z7F1B581CD: [8031.83€ ]"</f>
        <v>Z7F1B581CD: [8031.83€ ]</v>
      </c>
      <c r="Q1701" t="str">
        <f>""</f>
        <v/>
      </c>
      <c r="R1701" t="str">
        <f>""</f>
        <v/>
      </c>
      <c r="S1701" t="str">
        <f>""</f>
        <v/>
      </c>
      <c r="T1701" t="str">
        <f>"https://portaletrasparenza.consorziobacchiglione.it/dettagli/attodigara/774/riparazione-e-manutenzione-mezzi-con-targa-pdah662-agk711-pdaf496-pdah521-motobarca-n-1-2-6.html"</f>
        <v>https://portaletrasparenza.consorziobacchiglione.it/dettagli/attodigara/774/riparazione-e-manutenzione-mezzi-con-targa-pdah662-agk711-pdaf496-pdah521-motobarca-n-1-2-6.html</v>
      </c>
      <c r="U1701" t="str">
        <f>""</f>
        <v/>
      </c>
      <c r="V1701">
        <f>(SUBSTITUTE(Tabella1[[#This Row],[Importo di aggiudicazione]],".",","))-(SUBSTITUTE(  SUBSTITUTE(          SUBSTITUTE(Tabella1[[#This Row],[Dettaglio somme liquidate]],Tabella1[[#This Row],[CIG]]&amp;": [",""),"€ ]",""),".",","))</f>
        <v>8</v>
      </c>
    </row>
    <row r="1702" spans="1:22" x14ac:dyDescent="0.3">
      <c r="A1702" t="str">
        <f>"Affidamento"</f>
        <v>Affidamento</v>
      </c>
      <c r="B1702" t="str">
        <f>"Riparazione e manutenzione inverter Vacon EP1, EP2, EP4, EP5 Idrovora Baldon."</f>
        <v>Riparazione e manutenzione inverter Vacon EP1, EP2, EP4, EP5 Idrovora Baldon.</v>
      </c>
      <c r="C1702" t="str">
        <f>"Z7D1B57F4D"</f>
        <v>Z7D1B57F4D</v>
      </c>
      <c r="D1702" t="str">
        <f>"04/11/2021"</f>
        <v>04/11/2021</v>
      </c>
      <c r="E1702" t="str">
        <f>""</f>
        <v/>
      </c>
      <c r="F1702" t="str">
        <f>""</f>
        <v/>
      </c>
      <c r="G1702" t="str">
        <f>"12244.00"</f>
        <v>12244.00</v>
      </c>
      <c r="H1702" t="str">
        <f>"Consorzio di bonifica Bacchiglione"</f>
        <v>Consorzio di bonifica Bacchiglione</v>
      </c>
      <c r="I1702" t="str">
        <f>"92223390284"</f>
        <v>92223390284</v>
      </c>
      <c r="J1702" t="str">
        <f>"23-AFFIDAMENTO DIRETTO"</f>
        <v>23-AFFIDAMENTO DIRETTO</v>
      </c>
      <c r="K1702" t="str">
        <f>"27/09/2021"</f>
        <v>27/09/2021</v>
      </c>
      <c r="L1702" t="str">
        <f>"17/01/2021"</f>
        <v>17/01/2021</v>
      </c>
      <c r="M1702" t="str">
        <f>""</f>
        <v/>
      </c>
      <c r="N1702" t="str">
        <f>"Servizi Tecnologici S.r.l.Via Casa Cucchi, 9 - 37024 Negrar di Valpolicella (VR)"</f>
        <v>Servizi Tecnologici S.r.l.Via Casa Cucchi, 9 - 37024 Negrar di Valpolicella (VR)</v>
      </c>
      <c r="O1702" t="str">
        <f>"Servizi Tecnologici S.r.l.Via Casa Cucchi, 9 - 37024 Negrar di Valpolicella (VR)"</f>
        <v>Servizi Tecnologici S.r.l.Via Casa Cucchi, 9 - 37024 Negrar di Valpolicella (VR)</v>
      </c>
      <c r="P1702" t="str">
        <f>"Z7D1B57F4D: [10278.00€ ]"</f>
        <v>Z7D1B57F4D: [10278.00€ ]</v>
      </c>
      <c r="Q1702" t="str">
        <f>""</f>
        <v/>
      </c>
      <c r="R1702" t="str">
        <f>""</f>
        <v/>
      </c>
      <c r="S1702" t="str">
        <f>""</f>
        <v/>
      </c>
      <c r="T1702" t="str">
        <f>"https://portaletrasparenza.consorziobacchiglione.it/dettagli/attodigara/773/riparazione-e-manutenzione-inverter-vacon-ep1-ep2-ep4-ep5-idrovora-baldon.html"</f>
        <v>https://portaletrasparenza.consorziobacchiglione.it/dettagli/attodigara/773/riparazione-e-manutenzione-inverter-vacon-ep1-ep2-ep4-ep5-idrovora-baldon.html</v>
      </c>
      <c r="U1702" t="str">
        <f>""</f>
        <v/>
      </c>
      <c r="V1702">
        <f>(SUBSTITUTE(Tabella1[[#This Row],[Importo di aggiudicazione]],".",","))-(SUBSTITUTE(  SUBSTITUTE(          SUBSTITUTE(Tabella1[[#This Row],[Dettaglio somme liquidate]],Tabella1[[#This Row],[CIG]]&amp;": [",""),"€ ]",""),".",","))</f>
        <v>1966</v>
      </c>
    </row>
    <row r="1703" spans="1:22" x14ac:dyDescent="0.3">
      <c r="A1703" t="str">
        <f>"Affidamento"</f>
        <v>Affidamento</v>
      </c>
      <c r="B1703" t="str">
        <f>"Manutenzione e riparazione mezzi con targa. AKB005, AKB015, motobarca n.1, n.5."</f>
        <v>Manutenzione e riparazione mezzi con targa. AKB005, AKB015, motobarca n.1, n.5.</v>
      </c>
      <c r="C1703" t="str">
        <f>"ZF73333F12"</f>
        <v>ZF73333F12</v>
      </c>
      <c r="D1703" t="str">
        <f>"29/09/2021"</f>
        <v>29/09/2021</v>
      </c>
      <c r="E1703" t="str">
        <f>""</f>
        <v/>
      </c>
      <c r="F1703" t="str">
        <f>""</f>
        <v/>
      </c>
      <c r="G1703" t="str">
        <f>"11166.19"</f>
        <v>11166.19</v>
      </c>
      <c r="H1703" t="str">
        <f>"Consorzio di bonifica Bacchiglione"</f>
        <v>Consorzio di bonifica Bacchiglione</v>
      </c>
      <c r="I1703" t="str">
        <f>"92223390284"</f>
        <v>92223390284</v>
      </c>
      <c r="J1703" t="str">
        <f>"23-AFFIDAMENTO DIRETTO"</f>
        <v>23-AFFIDAMENTO DIRETTO</v>
      </c>
      <c r="K1703" t="str">
        <f>"27/09/2021"</f>
        <v>27/09/2021</v>
      </c>
      <c r="L1703" t="str">
        <f>"13/10/2021"</f>
        <v>13/10/2021</v>
      </c>
      <c r="M1703" t="str">
        <f>""</f>
        <v/>
      </c>
      <c r="N1703" t="str">
        <f>"Officina Biesse S.n.c. Via Matteotti 24 35020 Arzergrande PD"</f>
        <v>Officina Biesse S.n.c. Via Matteotti 24 35020 Arzergrande PD</v>
      </c>
      <c r="O1703" t="str">
        <f>"Officina Biesse S.n.c. Via Matteotti 24 35020 Arzergrande PD"</f>
        <v>Officina Biesse S.n.c. Via Matteotti 24 35020 Arzergrande PD</v>
      </c>
      <c r="P1703" t="s">
        <v>164</v>
      </c>
      <c r="Q1703" t="str">
        <f>""</f>
        <v/>
      </c>
      <c r="R1703" t="str">
        <f>""</f>
        <v/>
      </c>
      <c r="S1703" t="str">
        <f>""</f>
        <v/>
      </c>
      <c r="T1703" t="str">
        <f>"https://portaletrasparenza.consorziobacchiglione.it/dettagli/attodigara/7172/manutenzione-e-riparazione-mezzi-con-targa-akb005-akb015-motobarca-n-1-n-5.html"</f>
        <v>https://portaletrasparenza.consorziobacchiglione.it/dettagli/attodigara/7172/manutenzione-e-riparazione-mezzi-con-targa-akb005-akb015-motobarca-n-1-n-5.html</v>
      </c>
      <c r="U1703" t="str">
        <f>"https://portaletrasparenza.consorziobacchiglione.it/download/attodigara/7172/63ac45cfe2264.PDF"</f>
        <v>https://portaletrasparenza.consorziobacchiglione.it/download/attodigara/7172/63ac45cfe2264.PDF</v>
      </c>
      <c r="V17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04" spans="1:22" x14ac:dyDescent="0.3">
      <c r="A1704" t="str">
        <f>"Affidamento"</f>
        <v>Affidamento</v>
      </c>
      <c r="B1704" t="str">
        <f>"Servizio camion e gru per il sollevamento pompa n.2 presso Idrovora Baldon, trasporto in officina a Mestrino e riposizionamento presso Idrovora Baldon."</f>
        <v>Servizio camion e gru per il sollevamento pompa n.2 presso Idrovora Baldon, trasporto in officina a Mestrino e riposizionamento presso Idrovora Baldon.</v>
      </c>
      <c r="C1704" t="str">
        <f>"Z91333353A"</f>
        <v>Z91333353A</v>
      </c>
      <c r="D1704" t="str">
        <f>"29/09/2021"</f>
        <v>29/09/2021</v>
      </c>
      <c r="E1704" t="str">
        <f>""</f>
        <v/>
      </c>
      <c r="F1704" t="str">
        <f>""</f>
        <v/>
      </c>
      <c r="G1704" t="str">
        <f>"2300.00"</f>
        <v>2300.00</v>
      </c>
      <c r="H1704" t="str">
        <f>"Consorzio di bonifica Bacchiglione"</f>
        <v>Consorzio di bonifica Bacchiglione</v>
      </c>
      <c r="I1704" t="str">
        <f>"92223390284"</f>
        <v>92223390284</v>
      </c>
      <c r="J1704" t="str">
        <f>"23-AFFIDAMENTO DIRETTO"</f>
        <v>23-AFFIDAMENTO DIRETTO</v>
      </c>
      <c r="K1704" t="str">
        <f>"27/09/2021"</f>
        <v>27/09/2021</v>
      </c>
      <c r="L1704" t="str">
        <f>"28/02/2022"</f>
        <v>28/02/2022</v>
      </c>
      <c r="M1704" t="str">
        <f>""</f>
        <v/>
      </c>
      <c r="N1704" t="str">
        <f>"Aggio e Figli Autotrasporti s.r.l. Via Chiusure 47 35020 Maserà di Padova PD"</f>
        <v>Aggio e Figli Autotrasporti s.r.l. Via Chiusure 47 35020 Maserà di Padova PD</v>
      </c>
      <c r="O1704" t="str">
        <f>"Aggio e Figli Autotrasporti s.r.l. Via Chiusure 47 35020 Maserà di Padova PD"</f>
        <v>Aggio e Figli Autotrasporti s.r.l. Via Chiusure 47 35020 Maserà di Padova PD</v>
      </c>
      <c r="P1704" t="s">
        <v>210</v>
      </c>
      <c r="Q1704" t="str">
        <f>""</f>
        <v/>
      </c>
      <c r="R1704" t="str">
        <f>""</f>
        <v/>
      </c>
      <c r="S1704" t="str">
        <f>""</f>
        <v/>
      </c>
      <c r="T1704" t="str">
        <f>"https://portaletrasparenza.consorziobacchiglione.it/dettagli/attodigara/7171/servizio-camion-e-gru-per-il-sollevamento-pompa-n-2-presso-idrovora-baldon-trasporto-in-officina-a-mestrino-e-riposizionamento-presso-idrovora-baldon.html"</f>
        <v>https://portaletrasparenza.consorziobacchiglione.it/dettagli/attodigara/7171/servizio-camion-e-gru-per-il-sollevamento-pompa-n-2-presso-idrovora-baldon-trasporto-in-officina-a-mestrino-e-riposizionamento-presso-idrovora-baldon.html</v>
      </c>
      <c r="U1704" t="str">
        <f>"https://portaletrasparenza.consorziobacchiglione.it/download/attodigara/7171/63ac45cfa8fd2.PDF"</f>
        <v>https://portaletrasparenza.consorziobacchiglione.it/download/attodigara/7171/63ac45cfa8fd2.PDF</v>
      </c>
      <c r="V17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05" spans="1:22" x14ac:dyDescent="0.3">
      <c r="A1705" t="str">
        <f>"Affidamento"</f>
        <v>Affidamento</v>
      </c>
      <c r="B1705" t="str">
        <f>"Fornitura n.16 Rot.Inkjet gr.90 per nuovo plotter HP Designjet T1700 presso sede Consorziale"</f>
        <v>Fornitura n.16 Rot.Inkjet gr.90 per nuovo plotter HP Designjet T1700 presso sede Consorziale</v>
      </c>
      <c r="C1705" t="str">
        <f>"Z72333211B"</f>
        <v>Z72333211B</v>
      </c>
      <c r="D1705" t="str">
        <f>"29/09/2021"</f>
        <v>29/09/2021</v>
      </c>
      <c r="E1705" t="str">
        <f>""</f>
        <v/>
      </c>
      <c r="F1705" t="str">
        <f>""</f>
        <v/>
      </c>
      <c r="G1705" t="str">
        <f>"156.80"</f>
        <v>156.80</v>
      </c>
      <c r="H1705" t="str">
        <f>"Consorzio di bonifica Bacchiglione"</f>
        <v>Consorzio di bonifica Bacchiglione</v>
      </c>
      <c r="I1705" t="str">
        <f>"92223390284"</f>
        <v>92223390284</v>
      </c>
      <c r="J1705" t="str">
        <f>"23-AFFIDAMENTO DIRETTO"</f>
        <v>23-AFFIDAMENTO DIRETTO</v>
      </c>
      <c r="K1705" t="str">
        <f>"27/09/2021"</f>
        <v>27/09/2021</v>
      </c>
      <c r="L1705" t="str">
        <f>"25/10/2021"</f>
        <v>25/10/2021</v>
      </c>
      <c r="M1705" t="str">
        <f>""</f>
        <v/>
      </c>
      <c r="N1705" t="str">
        <f>"BM Office E Service di Mattioli Maurizio Via Vicenza 8 30010 Cona VE"</f>
        <v>BM Office E Service di Mattioli Maurizio Via Vicenza 8 30010 Cona VE</v>
      </c>
      <c r="O1705" t="str">
        <f>"BM Office E Service di Mattioli Maurizio Via Vicenza 8 30010 Cona VE"</f>
        <v>BM Office E Service di Mattioli Maurizio Via Vicenza 8 30010 Cona VE</v>
      </c>
      <c r="P1705" t="s">
        <v>308</v>
      </c>
      <c r="Q1705" t="str">
        <f>""</f>
        <v/>
      </c>
      <c r="R1705" t="str">
        <f>""</f>
        <v/>
      </c>
      <c r="S1705" t="str">
        <f>""</f>
        <v/>
      </c>
      <c r="T1705" t="str">
        <f>"https://portaletrasparenza.consorziobacchiglione.it/dettagli/attodigara/7170/fornitura-n-16-rot-inkjet-gr-90-per-nuovo-plotter-hp-designjet-t1700-presso-sede-consorziale.html"</f>
        <v>https://portaletrasparenza.consorziobacchiglione.it/dettagli/attodigara/7170/fornitura-n-16-rot-inkjet-gr-90-per-nuovo-plotter-hp-designjet-t1700-presso-sede-consorziale.html</v>
      </c>
      <c r="U1705" t="str">
        <f>"https://portaletrasparenza.consorziobacchiglione.it/download/attodigara/7170/63ac45cf6fab9.PDF"</f>
        <v>https://portaletrasparenza.consorziobacchiglione.it/download/attodigara/7170/63ac45cf6fab9.PDF</v>
      </c>
      <c r="V170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06" spans="1:22" x14ac:dyDescent="0.3">
      <c r="A1706" t="str">
        <f>"Affidamento"</f>
        <v>Affidamento</v>
      </c>
      <c r="B1706" t="str">
        <f>"Inversione ant/post con bilanciatura del mezzo targato: FN935RF"</f>
        <v>Inversione ant/post con bilanciatura del mezzo targato: FN935RF</v>
      </c>
      <c r="C1706" t="str">
        <f>"Z673331842"</f>
        <v>Z673331842</v>
      </c>
      <c r="D1706" t="str">
        <f>"29/09/2021"</f>
        <v>29/09/2021</v>
      </c>
      <c r="E1706" t="str">
        <f>""</f>
        <v/>
      </c>
      <c r="F1706" t="str">
        <f>""</f>
        <v/>
      </c>
      <c r="G1706" t="str">
        <f>"25.00"</f>
        <v>25.00</v>
      </c>
      <c r="H1706" t="str">
        <f>"Consorzio di bonifica Bacchiglione"</f>
        <v>Consorzio di bonifica Bacchiglione</v>
      </c>
      <c r="I1706" t="str">
        <f>"92223390284"</f>
        <v>92223390284</v>
      </c>
      <c r="J1706" t="str">
        <f>"23-AFFIDAMENTO DIRETTO"</f>
        <v>23-AFFIDAMENTO DIRETTO</v>
      </c>
      <c r="K1706" t="str">
        <f>"27/09/2021"</f>
        <v>27/09/2021</v>
      </c>
      <c r="L1706" t="str">
        <f>"05/10/2021"</f>
        <v>05/10/2021</v>
      </c>
      <c r="M1706" t="str">
        <f>""</f>
        <v/>
      </c>
      <c r="N1706" t="str">
        <f>"Galesso Roberto Via San Rocco 52B 35028 Piove di Sacco PD"</f>
        <v>Galesso Roberto Via San Rocco 52B 35028 Piove di Sacco PD</v>
      </c>
      <c r="O1706" t="str">
        <f>"Galesso Roberto Via San Rocco 52B 35028 Piove di Sacco PD"</f>
        <v>Galesso Roberto Via San Rocco 52B 35028 Piove di Sacco PD</v>
      </c>
      <c r="P1706" t="s">
        <v>347</v>
      </c>
      <c r="Q1706" t="str">
        <f>""</f>
        <v/>
      </c>
      <c r="R1706" t="str">
        <f>""</f>
        <v/>
      </c>
      <c r="S1706" t="str">
        <f>""</f>
        <v/>
      </c>
      <c r="T1706" t="str">
        <f>"https://portaletrasparenza.consorziobacchiglione.it/dettagli/attodigara/7169/inversione-ant-post-con-bilanciatura-del-mezzo-targato-fn935rf.html"</f>
        <v>https://portaletrasparenza.consorziobacchiglione.it/dettagli/attodigara/7169/inversione-ant-post-con-bilanciatura-del-mezzo-targato-fn935rf.html</v>
      </c>
      <c r="U1706" t="str">
        <f>"https://portaletrasparenza.consorziobacchiglione.it/download/attodigara/7169/63ac45cf36c3c.PDF"</f>
        <v>https://portaletrasparenza.consorziobacchiglione.it/download/attodigara/7169/63ac45cf36c3c.PDF</v>
      </c>
      <c r="V17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07" spans="1:22" x14ac:dyDescent="0.3">
      <c r="A1707" t="str">
        <f>"Affidamento"</f>
        <v>Affidamento</v>
      </c>
      <c r="B1707" t="str">
        <f>"Manutenzione e riparazione mezzo con targa: AHH573"</f>
        <v>Manutenzione e riparazione mezzo con targa: AHH573</v>
      </c>
      <c r="C1707" t="str">
        <f>"Z191BC698C"</f>
        <v>Z191BC698C</v>
      </c>
      <c r="D1707" t="str">
        <f>"04/11/2021"</f>
        <v>04/11/2021</v>
      </c>
      <c r="E1707" t="str">
        <f>""</f>
        <v/>
      </c>
      <c r="F1707" t="str">
        <f>""</f>
        <v/>
      </c>
      <c r="G1707" t="str">
        <f>"1430.03"</f>
        <v>1430.03</v>
      </c>
      <c r="H1707" t="str">
        <f>"Consorzio di bonifica Bacchiglione"</f>
        <v>Consorzio di bonifica Bacchiglione</v>
      </c>
      <c r="I1707" t="str">
        <f>"92223390284"</f>
        <v>92223390284</v>
      </c>
      <c r="J1707" t="str">
        <f>"23-AFFIDAMENTO DIRETTO"</f>
        <v>23-AFFIDAMENTO DIRETTO</v>
      </c>
      <c r="K1707" t="str">
        <f>"27/10/2021"</f>
        <v>27/10/2021</v>
      </c>
      <c r="L1707" t="str">
        <f>"04/01/2021"</f>
        <v>04/01/2021</v>
      </c>
      <c r="M1707" t="str">
        <f>""</f>
        <v/>
      </c>
      <c r="N1707" t="str">
        <f>"Negrisolo Officina Meccanica s.a.s. V.le delle Industrie II° strada 13 35025 Cagnola di Cartura PD"</f>
        <v>Negrisolo Officina Meccanica s.a.s. V.le delle Industrie II° strada 13 35025 Cagnola di Cartura PD</v>
      </c>
      <c r="O1707" t="str">
        <f>"Negrisolo Officina Meccanica s.a.s. V.le delle Industrie II° strada 13 35025 Cagnola di Cartura PD"</f>
        <v>Negrisolo Officina Meccanica s.a.s. V.le delle Industrie II° strada 13 35025 Cagnola di Cartura PD</v>
      </c>
      <c r="P1707" t="str">
        <f>"Z191BC698C: [1430.03€ ]"</f>
        <v>Z191BC698C: [1430.03€ ]</v>
      </c>
      <c r="Q1707" t="str">
        <f>""</f>
        <v/>
      </c>
      <c r="R1707" t="str">
        <f>""</f>
        <v/>
      </c>
      <c r="S1707" t="str">
        <f>""</f>
        <v/>
      </c>
      <c r="T1707" t="str">
        <f>"https://portaletrasparenza.consorziobacchiglione.it/dettagli/attodigara/863/manutenzione-e-riparazione-mezzo-con-targa-ahh573.html"</f>
        <v>https://portaletrasparenza.consorziobacchiglione.it/dettagli/attodigara/863/manutenzione-e-riparazione-mezzo-con-targa-ahh573.html</v>
      </c>
      <c r="U1707" t="str">
        <f>""</f>
        <v/>
      </c>
      <c r="V170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08" spans="1:22" x14ac:dyDescent="0.3">
      <c r="A1708" t="str">
        <f>"Affidamento"</f>
        <v>Affidamento</v>
      </c>
      <c r="B1708" t="str">
        <f>"Riparazione e manutenzione mezzo con targa: DN881SC."</f>
        <v>Riparazione e manutenzione mezzo con targa: DN881SC.</v>
      </c>
      <c r="C1708" t="str">
        <f>"Z4E1BC6825"</f>
        <v>Z4E1BC6825</v>
      </c>
      <c r="D1708" t="str">
        <f>"04/11/2021"</f>
        <v>04/11/2021</v>
      </c>
      <c r="E1708" t="str">
        <f>""</f>
        <v/>
      </c>
      <c r="F1708" t="str">
        <f>""</f>
        <v/>
      </c>
      <c r="G1708" t="str">
        <f>"69.78"</f>
        <v>69.78</v>
      </c>
      <c r="H1708" t="str">
        <f>"Consorzio di bonifica Bacchiglione"</f>
        <v>Consorzio di bonifica Bacchiglione</v>
      </c>
      <c r="I1708" t="str">
        <f>"92223390284"</f>
        <v>92223390284</v>
      </c>
      <c r="J1708" t="str">
        <f>"23-AFFIDAMENTO DIRETTO"</f>
        <v>23-AFFIDAMENTO DIRETTO</v>
      </c>
      <c r="K1708" t="str">
        <f>"27/10/2021"</f>
        <v>27/10/2021</v>
      </c>
      <c r="L1708" t="str">
        <f>"15/02/2021"</f>
        <v>15/02/2021</v>
      </c>
      <c r="M1708" t="str">
        <f>""</f>
        <v/>
      </c>
      <c r="N1708" t="str">
        <f>"Mardegan F.lli s.n.c. Via Argine Destro 13A 35020 Brenta di Correzzola PD"</f>
        <v>Mardegan F.lli s.n.c. Via Argine Destro 13A 35020 Brenta di Correzzola PD</v>
      </c>
      <c r="O1708" t="str">
        <f>"Mardegan F.lli s.n.c. Via Argine Destro 13A 35020 Brenta di Correzzola PD"</f>
        <v>Mardegan F.lli s.n.c. Via Argine Destro 13A 35020 Brenta di Correzzola PD</v>
      </c>
      <c r="P1708" t="str">
        <f>"Z4E1BC6825: [69.78€ ]"</f>
        <v>Z4E1BC6825: [69.78€ ]</v>
      </c>
      <c r="Q1708" t="str">
        <f>""</f>
        <v/>
      </c>
      <c r="R1708" t="str">
        <f>""</f>
        <v/>
      </c>
      <c r="S1708" t="str">
        <f>""</f>
        <v/>
      </c>
      <c r="T1708" t="str">
        <f>"https://portaletrasparenza.consorziobacchiglione.it/dettagli/attodigara/862/riparazione-e-manutenzione-mezzo-con-targa-dn881sc.html"</f>
        <v>https://portaletrasparenza.consorziobacchiglione.it/dettagli/attodigara/862/riparazione-e-manutenzione-mezzo-con-targa-dn881sc.html</v>
      </c>
      <c r="U1708" t="str">
        <f>""</f>
        <v/>
      </c>
      <c r="V17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09" spans="1:22" x14ac:dyDescent="0.3">
      <c r="A1709" t="str">
        <f>"Affidamento"</f>
        <v>Affidamento</v>
      </c>
      <c r="B1709" t="str">
        <f>"Corso di formazione secondo Accordo Stato Regioni per personale consorziale (Ing.Marchiori)"</f>
        <v>Corso di formazione secondo Accordo Stato Regioni per personale consorziale (Ing.Marchiori)</v>
      </c>
      <c r="C1709" t="str">
        <f>"ZED1BC64EB"</f>
        <v>ZED1BC64EB</v>
      </c>
      <c r="D1709" t="str">
        <f>"04/11/2021"</f>
        <v>04/11/2021</v>
      </c>
      <c r="E1709" t="str">
        <f>""</f>
        <v/>
      </c>
      <c r="F1709" t="str">
        <f>""</f>
        <v/>
      </c>
      <c r="G1709" t="str">
        <f>"158.08"</f>
        <v>158.08</v>
      </c>
      <c r="H1709" t="str">
        <f>"Consorzio di bonifica Bacchiglione"</f>
        <v>Consorzio di bonifica Bacchiglione</v>
      </c>
      <c r="I1709" t="str">
        <f>"92223390284"</f>
        <v>92223390284</v>
      </c>
      <c r="J1709" t="str">
        <f>"23-AFFIDAMENTO DIRETTO"</f>
        <v>23-AFFIDAMENTO DIRETTO</v>
      </c>
      <c r="K1709" t="str">
        <f>"27/10/2021"</f>
        <v>27/10/2021</v>
      </c>
      <c r="L1709" t="str">
        <f>"23/01/2021"</f>
        <v>23/01/2021</v>
      </c>
      <c r="M1709" t="str">
        <f>""</f>
        <v/>
      </c>
      <c r="N1709" t="str">
        <f>"Cibola ing. Rodolfo Via A. Manzoni 27 35020 Saonara PD"</f>
        <v>Cibola ing. Rodolfo Via A. Manzoni 27 35020 Saonara PD</v>
      </c>
      <c r="O1709" t="str">
        <f>"Cibola ing. Rodolfo Via A. Manzoni 27 35020 Saonara PD"</f>
        <v>Cibola ing. Rodolfo Via A. Manzoni 27 35020 Saonara PD</v>
      </c>
      <c r="P1709" t="str">
        <f>"ZED1BC64EB: [158.08€ ]"</f>
        <v>ZED1BC64EB: [158.08€ ]</v>
      </c>
      <c r="Q1709" t="str">
        <f>""</f>
        <v/>
      </c>
      <c r="R1709" t="str">
        <f>""</f>
        <v/>
      </c>
      <c r="S1709" t="str">
        <f>""</f>
        <v/>
      </c>
      <c r="T1709" t="str">
        <f>"https://portaletrasparenza.consorziobacchiglione.it/dettagli/attodigara/861/corso-di-formazione-secondo-accordo-stato-regioni-per-personale-consorziale-ing-marchiori.html"</f>
        <v>https://portaletrasparenza.consorziobacchiglione.it/dettagli/attodigara/861/corso-di-formazione-secondo-accordo-stato-regioni-per-personale-consorziale-ing-marchiori.html</v>
      </c>
      <c r="U1709" t="str">
        <f>""</f>
        <v/>
      </c>
      <c r="V17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10" spans="1:22" x14ac:dyDescent="0.3">
      <c r="A1710" t="str">
        <f>"Affidamento"</f>
        <v>Affidamento</v>
      </c>
      <c r="B1710" t="str">
        <f>"Fornitura ricambi vari per mezzi Consortili"</f>
        <v>Fornitura ricambi vari per mezzi Consortili</v>
      </c>
      <c r="C1710" t="str">
        <f>"ZE233A64D9"</f>
        <v>ZE233A64D9</v>
      </c>
      <c r="D1710" t="str">
        <f>"02/11/2021"</f>
        <v>02/11/2021</v>
      </c>
      <c r="E1710" t="str">
        <f>""</f>
        <v/>
      </c>
      <c r="F1710" t="str">
        <f>""</f>
        <v/>
      </c>
      <c r="G1710" t="str">
        <f>"104.00"</f>
        <v>104.00</v>
      </c>
      <c r="H1710" t="str">
        <f>"Consorzio di bonifica Bacchiglione"</f>
        <v>Consorzio di bonifica Bacchiglione</v>
      </c>
      <c r="I1710" t="str">
        <f>"92223390284"</f>
        <v>92223390284</v>
      </c>
      <c r="J1710" t="str">
        <f>"23-AFFIDAMENTO DIRETTO"</f>
        <v>23-AFFIDAMENTO DIRETTO</v>
      </c>
      <c r="K1710" t="str">
        <f>"27/10/2021"</f>
        <v>27/10/2021</v>
      </c>
      <c r="L1710" t="str">
        <f>"17/11/2021"</f>
        <v>17/11/2021</v>
      </c>
      <c r="M1710" t="str">
        <f>""</f>
        <v/>
      </c>
      <c r="N1710" t="str">
        <f>"Autoricambi s.n.c. di Mardegan Paolo e Manfron Veronica Via A.Valerio 26-28 Piove di Sacco PD"</f>
        <v>Autoricambi s.n.c. di Mardegan Paolo e Manfron Veronica Via A.Valerio 26-28 Piove di Sacco PD</v>
      </c>
      <c r="O1710" t="str">
        <f>"Autoricambi s.n.c. di Mardegan Paolo e Manfron Veronica Via A.Valerio 26-28 Piove di Sacco PD"</f>
        <v>Autoricambi s.n.c. di Mardegan Paolo e Manfron Veronica Via A.Valerio 26-28 Piove di Sacco PD</v>
      </c>
      <c r="P1710" t="str">
        <f>"ZE233A64D9: [104.00€ ]"</f>
        <v>ZE233A64D9: [104.00€ ]</v>
      </c>
      <c r="Q1710" t="str">
        <f>""</f>
        <v/>
      </c>
      <c r="R1710" t="str">
        <f>""</f>
        <v/>
      </c>
      <c r="S1710" t="str">
        <f>""</f>
        <v/>
      </c>
      <c r="T1710" t="str">
        <f>"https://portaletrasparenza.consorziobacchiglione.it/dettagli/attodigara/7246/fornitura-ricambi-vari-per-mezzi-consortili.html"</f>
        <v>https://portaletrasparenza.consorziobacchiglione.it/dettagli/attodigara/7246/fornitura-ricambi-vari-per-mezzi-consortili.html</v>
      </c>
      <c r="U1710" t="str">
        <f>"https://portaletrasparenza.consorziobacchiglione.it/download/attodigara/7246/63ac45e26b0dd.PDF"</f>
        <v>https://portaletrasparenza.consorziobacchiglione.it/download/attodigara/7246/63ac45e26b0dd.PDF</v>
      </c>
      <c r="V17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11" spans="1:22" x14ac:dyDescent="0.3">
      <c r="A1711" t="str">
        <f>"Affidamento"</f>
        <v>Affidamento</v>
      </c>
      <c r="B1711" t="str">
        <f>"Fornitura nuovo motore elettrico Trifase potenza KW 5,5 presso Idrovora Vaso Cavaizze"</f>
        <v>Fornitura nuovo motore elettrico Trifase potenza KW 5,5 presso Idrovora Vaso Cavaizze</v>
      </c>
      <c r="C1711" t="str">
        <f>"Z1D33A5DD5"</f>
        <v>Z1D33A5DD5</v>
      </c>
      <c r="D1711" t="str">
        <f>"02/11/2021"</f>
        <v>02/11/2021</v>
      </c>
      <c r="E1711" t="str">
        <f>""</f>
        <v/>
      </c>
      <c r="F1711" t="str">
        <f>""</f>
        <v/>
      </c>
      <c r="G1711" t="str">
        <f>"496.00"</f>
        <v>496.00</v>
      </c>
      <c r="H1711" t="str">
        <f>"Consorzio di bonifica Bacchiglione"</f>
        <v>Consorzio di bonifica Bacchiglione</v>
      </c>
      <c r="I1711" t="str">
        <f>"92223390284"</f>
        <v>92223390284</v>
      </c>
      <c r="J1711" t="str">
        <f>"23-AFFIDAMENTO DIRETTO"</f>
        <v>23-AFFIDAMENTO DIRETTO</v>
      </c>
      <c r="K1711" t="str">
        <f>"27/10/2021"</f>
        <v>27/10/2021</v>
      </c>
      <c r="L1711" t="str">
        <f>"30/11/2021"</f>
        <v>30/11/2021</v>
      </c>
      <c r="M1711" t="str">
        <f>""</f>
        <v/>
      </c>
      <c r="N1711" t="str">
        <f>"Scarpa Sergio Elettromeccanica S.n.c. di Scarpa Paola E C. Via A. Vivaldi 7 35028 Piove di Sacco PD"</f>
        <v>Scarpa Sergio Elettromeccanica S.n.c. di Scarpa Paola E C. Via A. Vivaldi 7 35028 Piove di Sacco PD</v>
      </c>
      <c r="O1711" t="str">
        <f>"Scarpa Sergio Elettromeccanica S.n.c. di Scarpa Paola E C. Via A. Vivaldi 7 35028 Piove di Sacco PD"</f>
        <v>Scarpa Sergio Elettromeccanica S.n.c. di Scarpa Paola E C. Via A. Vivaldi 7 35028 Piove di Sacco PD</v>
      </c>
      <c r="P1711" t="str">
        <f>"Z1D33A5DD5: [496.00€ ]"</f>
        <v>Z1D33A5DD5: [496.00€ ]</v>
      </c>
      <c r="Q1711" t="str">
        <f>""</f>
        <v/>
      </c>
      <c r="R1711" t="str">
        <f>""</f>
        <v/>
      </c>
      <c r="S1711" t="str">
        <f>""</f>
        <v/>
      </c>
      <c r="T1711" t="str">
        <f>"https://portaletrasparenza.consorziobacchiglione.it/dettagli/attodigara/7245/fornitura-nuovo-motore-elettrico-trifase-potenza-kw-5-5-presso-idrovora-vaso-cavaizze.html"</f>
        <v>https://portaletrasparenza.consorziobacchiglione.it/dettagli/attodigara/7245/fornitura-nuovo-motore-elettrico-trifase-potenza-kw-5-5-presso-idrovora-vaso-cavaizze.html</v>
      </c>
      <c r="U1711" t="str">
        <f>"https://portaletrasparenza.consorziobacchiglione.it/download/attodigara/7245/63ac45e23225b.PDF"</f>
        <v>https://portaletrasparenza.consorziobacchiglione.it/download/attodigara/7245/63ac45e23225b.PDF</v>
      </c>
      <c r="V171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12" spans="1:22" x14ac:dyDescent="0.3">
      <c r="A1712" t="str">
        <f>"Affidamento"</f>
        <v>Affidamento</v>
      </c>
      <c r="B1712" t="str">
        <f>"Manutenzione e riparazione mezzo con targa: EP107XC"</f>
        <v>Manutenzione e riparazione mezzo con targa: EP107XC</v>
      </c>
      <c r="C1712" t="str">
        <f>"Z7833A501F"</f>
        <v>Z7833A501F</v>
      </c>
      <c r="D1712" t="str">
        <f>"02/11/2021"</f>
        <v>02/11/2021</v>
      </c>
      <c r="E1712" t="str">
        <f>""</f>
        <v/>
      </c>
      <c r="F1712" t="str">
        <f>""</f>
        <v/>
      </c>
      <c r="G1712" t="str">
        <f>"1641.49"</f>
        <v>1641.49</v>
      </c>
      <c r="H1712" t="str">
        <f>"Consorzio di bonifica Bacchiglione"</f>
        <v>Consorzio di bonifica Bacchiglione</v>
      </c>
      <c r="I1712" t="str">
        <f>"92223390284"</f>
        <v>92223390284</v>
      </c>
      <c r="J1712" t="str">
        <f>"23-AFFIDAMENTO DIRETTO"</f>
        <v>23-AFFIDAMENTO DIRETTO</v>
      </c>
      <c r="K1712" t="str">
        <f>"27/10/2021"</f>
        <v>27/10/2021</v>
      </c>
      <c r="L1712" t="str">
        <f>"24/02/2023"</f>
        <v>24/02/2023</v>
      </c>
      <c r="M1712" t="str">
        <f>""</f>
        <v/>
      </c>
      <c r="N1712" t="str">
        <f>"Officina Autotreni Carraro Franco srl Via Gelsi 79 35028 Piove di Sacco PD"</f>
        <v>Officina Autotreni Carraro Franco srl Via Gelsi 79 35028 Piove di Sacco PD</v>
      </c>
      <c r="O1712" t="str">
        <f>"Officina Autotreni Carraro Franco srl Via Gelsi 79 35028 Piove di Sacco PD"</f>
        <v>Officina Autotreni Carraro Franco srl Via Gelsi 79 35028 Piove di Sacco PD</v>
      </c>
      <c r="P1712" t="str">
        <f>"Z7833A501F: [1641.49€ ]"</f>
        <v>Z7833A501F: [1641.49€ ]</v>
      </c>
      <c r="Q1712" t="str">
        <f>""</f>
        <v/>
      </c>
      <c r="R1712" t="str">
        <f>""</f>
        <v/>
      </c>
      <c r="S1712" t="str">
        <f>""</f>
        <v/>
      </c>
      <c r="T1712" t="str">
        <f>"https://portaletrasparenza.consorziobacchiglione.it/dettagli/attodigara/7244/manutenzione-e-riparazione-mezzo-con-targa-ep107xc.html"</f>
        <v>https://portaletrasparenza.consorziobacchiglione.it/dettagli/attodigara/7244/manutenzione-e-riparazione-mezzo-con-targa-ep107xc.html</v>
      </c>
      <c r="U1712" t="str">
        <f>""</f>
        <v/>
      </c>
      <c r="V17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13" spans="1:22" x14ac:dyDescent="0.3">
      <c r="A1713" t="str">
        <f>"Affidamento"</f>
        <v>Affidamento</v>
      </c>
      <c r="B1713" t="str">
        <f>"Noleggio Midi Escavatore cingolato 100 Q.li per lavori presso scolo Poggese"</f>
        <v>Noleggio Midi Escavatore cingolato 100 Q.li per lavori presso scolo Poggese</v>
      </c>
      <c r="C1713" t="str">
        <f>"ZEC33A3D62"</f>
        <v>ZEC33A3D62</v>
      </c>
      <c r="D1713" t="str">
        <f>"02/11/2021"</f>
        <v>02/11/2021</v>
      </c>
      <c r="E1713" t="str">
        <f>""</f>
        <v/>
      </c>
      <c r="F1713" t="str">
        <f>""</f>
        <v/>
      </c>
      <c r="G1713" t="str">
        <f>"4800.00"</f>
        <v>4800.00</v>
      </c>
      <c r="H1713" t="str">
        <f>"Consorzio di bonifica Bacchiglione"</f>
        <v>Consorzio di bonifica Bacchiglione</v>
      </c>
      <c r="I1713" t="str">
        <f>"92223390284"</f>
        <v>92223390284</v>
      </c>
      <c r="J1713" t="str">
        <f>"23-AFFIDAMENTO DIRETTO"</f>
        <v>23-AFFIDAMENTO DIRETTO</v>
      </c>
      <c r="K1713" t="str">
        <f>"27/10/2021"</f>
        <v>27/10/2021</v>
      </c>
      <c r="L1713" t="str">
        <f>"12/11/2021"</f>
        <v>12/11/2021</v>
      </c>
      <c r="M1713" t="str">
        <f>""</f>
        <v/>
      </c>
      <c r="N1713" t="str">
        <f>"Sorme s.n.c. Via Monache 21 35030 Selvazzano Dentro PD"</f>
        <v>Sorme s.n.c. Via Monache 21 35030 Selvazzano Dentro PD</v>
      </c>
      <c r="O1713" t="str">
        <f>"Sorme s.n.c. Via Monache 21 35030 Selvazzano Dentro PD"</f>
        <v>Sorme s.n.c. Via Monache 21 35030 Selvazzano Dentro PD</v>
      </c>
      <c r="P1713" t="str">
        <f>"ZEC33A3D62: [4800.00€ ]"</f>
        <v>ZEC33A3D62: [4800.00€ ]</v>
      </c>
      <c r="Q1713" t="str">
        <f>""</f>
        <v/>
      </c>
      <c r="R1713" t="str">
        <f>""</f>
        <v/>
      </c>
      <c r="S1713" t="str">
        <f>""</f>
        <v/>
      </c>
      <c r="T1713" t="str">
        <f>"https://portaletrasparenza.consorziobacchiglione.it/dettagli/attodigara/7243/noleggio-midi-escavatore-cingolato-100-q-li-per-lavori-presso-scolo-poggese.html"</f>
        <v>https://portaletrasparenza.consorziobacchiglione.it/dettagli/attodigara/7243/noleggio-midi-escavatore-cingolato-100-q-li-per-lavori-presso-scolo-poggese.html</v>
      </c>
      <c r="U1713" t="str">
        <f>"https://portaletrasparenza.consorziobacchiglione.it/download/attodigara/7243/63ac45e1dd0c0.PDF"</f>
        <v>https://portaletrasparenza.consorziobacchiglione.it/download/attodigara/7243/63ac45e1dd0c0.PDF</v>
      </c>
      <c r="V17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14" spans="1:22" x14ac:dyDescent="0.3">
      <c r="A1714" t="str">
        <f>"Affidamento"</f>
        <v>Affidamento</v>
      </c>
      <c r="B1714" t="str">
        <f>"Manutenzione e riparazione mezzi targati: DN881SC, motobarca n.1 e n.2"</f>
        <v>Manutenzione e riparazione mezzi targati: DN881SC, motobarca n.1 e n.2</v>
      </c>
      <c r="C1714" t="str">
        <f>"Z0E33A6784"</f>
        <v>Z0E33A6784</v>
      </c>
      <c r="D1714" t="str">
        <f>"02/11/2021"</f>
        <v>02/11/2021</v>
      </c>
      <c r="E1714" t="str">
        <f>""</f>
        <v/>
      </c>
      <c r="F1714" t="str">
        <f>""</f>
        <v/>
      </c>
      <c r="G1714" t="str">
        <f>"2866.00"</f>
        <v>2866.00</v>
      </c>
      <c r="H1714" t="str">
        <f>"Consorzio di bonifica Bacchiglione"</f>
        <v>Consorzio di bonifica Bacchiglione</v>
      </c>
      <c r="I1714" t="str">
        <f>"92223390284"</f>
        <v>92223390284</v>
      </c>
      <c r="J1714" t="str">
        <f>"23-AFFIDAMENTO DIRETTO"</f>
        <v>23-AFFIDAMENTO DIRETTO</v>
      </c>
      <c r="K1714" t="str">
        <f>"27/10/2021"</f>
        <v>27/10/2021</v>
      </c>
      <c r="L1714" t="str">
        <f>"31/12/2021"</f>
        <v>31/12/2021</v>
      </c>
      <c r="M1714" t="str">
        <f>""</f>
        <v/>
      </c>
      <c r="N1714" t="str">
        <f>"Vise Elettrocar Via Montagnon 61 35028 Tognana di Piove di Sacco PD"</f>
        <v>Vise Elettrocar Via Montagnon 61 35028 Tognana di Piove di Sacco PD</v>
      </c>
      <c r="O1714" t="str">
        <f>"Vise Elettrocar Via Montagnon 61 35028 Tognana di Piove di Sacco PD"</f>
        <v>Vise Elettrocar Via Montagnon 61 35028 Tognana di Piove di Sacco PD</v>
      </c>
      <c r="P1714" t="str">
        <f>"Z0E33A6784: [0.00€ ]"</f>
        <v>Z0E33A6784: [0.00€ ]</v>
      </c>
      <c r="Q1714" t="str">
        <f>""</f>
        <v/>
      </c>
      <c r="R1714" t="str">
        <f>""</f>
        <v/>
      </c>
      <c r="S1714" t="str">
        <f>""</f>
        <v/>
      </c>
      <c r="T1714" t="str">
        <f>"https://portaletrasparenza.consorziobacchiglione.it/dettagli/attodigara/7247/manutenzione-e-riparazione-mezzi-targati-dn881sc-motobarca-n-1-e-n-2.html"</f>
        <v>https://portaletrasparenza.consorziobacchiglione.it/dettagli/attodigara/7247/manutenzione-e-riparazione-mezzi-targati-dn881sc-motobarca-n-1-e-n-2.html</v>
      </c>
      <c r="U1714" t="str">
        <f>""</f>
        <v/>
      </c>
      <c r="V1714">
        <f>(SUBSTITUTE(Tabella1[[#This Row],[Importo di aggiudicazione]],".",","))-(SUBSTITUTE(  SUBSTITUTE(          SUBSTITUTE(Tabella1[[#This Row],[Dettaglio somme liquidate]],Tabella1[[#This Row],[CIG]]&amp;": [",""),"€ ]",""),".",","))</f>
        <v>2866</v>
      </c>
    </row>
    <row r="1715" spans="1:22" x14ac:dyDescent="0.3">
      <c r="A1715" t="str">
        <f>"Affidamento"</f>
        <v>Affidamento</v>
      </c>
      <c r="B1715" t="str">
        <f>"Fornitura pompa per il vuoto Robuschi mod. RVS21/SG-24, per pompa n. 1 presso idrovora Vaso Cavaizze."</f>
        <v>Fornitura pompa per il vuoto Robuschi mod. RVS21/SG-24, per pompa n. 1 presso idrovora Vaso Cavaizze.</v>
      </c>
      <c r="C1715" t="str">
        <f>"Z3C1CB8DF3"</f>
        <v>Z3C1CB8DF3</v>
      </c>
      <c r="D1715" t="str">
        <f>"04/11/2021"</f>
        <v>04/11/2021</v>
      </c>
      <c r="E1715" t="str">
        <f>""</f>
        <v/>
      </c>
      <c r="F1715" t="str">
        <f>""</f>
        <v/>
      </c>
      <c r="G1715" t="str">
        <f>"2924.00"</f>
        <v>2924.00</v>
      </c>
      <c r="H1715" t="str">
        <f>"Consorzio di bonifica Bacchiglione"</f>
        <v>Consorzio di bonifica Bacchiglione</v>
      </c>
      <c r="I1715" t="str">
        <f>"92223390284"</f>
        <v>92223390284</v>
      </c>
      <c r="J1715" t="str">
        <f>"23-AFFIDAMENTO DIRETTO"</f>
        <v>23-AFFIDAMENTO DIRETTO</v>
      </c>
      <c r="K1715" t="str">
        <f>"27/12/2021"</f>
        <v>27/12/2021</v>
      </c>
      <c r="L1715" t="str">
        <f>"14/03/2021"</f>
        <v>14/03/2021</v>
      </c>
      <c r="M1715" t="str">
        <f>""</f>
        <v/>
      </c>
      <c r="N1715" t="str">
        <f>"Scarpa Sergio Elettromeccanica S.n.c. di Scarpa Paola E C. Via A. Vivaldi 7 35028 Piove di Sacco PD | Dimel s.a.s. di Donado Luca e C. Via Unità d'Italia 12 35020 Brugine PD | M.V.R. Motori Ventilatori Ridotturi SPA"</f>
        <v>Scarpa Sergio Elettromeccanica S.n.c. di Scarpa Paola E C. Via A. Vivaldi 7 35028 Piove di Sacco PD | Dimel s.a.s. di Donado Luca e C. Via Unità d'Italia 12 35020 Brugine PD | M.V.R. Motori Ventilatori Ridotturi SPA</v>
      </c>
      <c r="O1715" t="str">
        <f>"Scarpa Sergio Elettromeccanica S.n.c. di Scarpa Paola E C. Via A. Vivaldi 7 35028 Piove di Sacco PD"</f>
        <v>Scarpa Sergio Elettromeccanica S.n.c. di Scarpa Paola E C. Via A. Vivaldi 7 35028 Piove di Sacco PD</v>
      </c>
      <c r="P1715" t="str">
        <f>"Z3C1CB8DF3: [2924.00€ ]"</f>
        <v>Z3C1CB8DF3: [2924.00€ ]</v>
      </c>
      <c r="Q1715" t="str">
        <f>""</f>
        <v/>
      </c>
      <c r="R1715" t="str">
        <f>""</f>
        <v/>
      </c>
      <c r="S1715" t="str">
        <f>""</f>
        <v/>
      </c>
      <c r="T1715" t="str">
        <f>"https://portaletrasparenza.consorziobacchiglione.it/dettagli/attodigara/1039/fornitura-pompa-per-il-vuoto-robuschi-mod-rvs21-sg-24-per-pompa-n-1-presso-idrovora-vaso-cavaizze.html"</f>
        <v>https://portaletrasparenza.consorziobacchiglione.it/dettagli/attodigara/1039/fornitura-pompa-per-il-vuoto-robuschi-mod-rvs21-sg-24-per-pompa-n-1-presso-idrovora-vaso-cavaizze.html</v>
      </c>
      <c r="U1715" t="str">
        <f>""</f>
        <v/>
      </c>
      <c r="V171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16" spans="1:22" x14ac:dyDescent="0.3">
      <c r="A1716" t="str">
        <f>"Affidamento"</f>
        <v>Affidamento</v>
      </c>
      <c r="B1716" t="str">
        <f>"Canone di assistenza e gestione degli applicativi web Munera - emissione e rendicontazione contributi consortili - Biennio 2022-2023 con opzione unilaterale per l anno 2024"</f>
        <v>Canone di assistenza e gestione degli applicativi web Munera - emissione e rendicontazione contributi consortili - Biennio 2022-2023 con opzione unilaterale per l anno 2024</v>
      </c>
      <c r="C1716" t="str">
        <f>"Z5234997C1"</f>
        <v>Z5234997C1</v>
      </c>
      <c r="D1716" t="str">
        <f>"27/12/2021"</f>
        <v>27/12/2021</v>
      </c>
      <c r="E1716" t="str">
        <f>""</f>
        <v/>
      </c>
      <c r="F1716" t="str">
        <f>""</f>
        <v/>
      </c>
      <c r="G1716" t="str">
        <f>"31824.00"</f>
        <v>31824.00</v>
      </c>
      <c r="H1716" t="str">
        <f>"Consorzio di bonifica Bacchiglione"</f>
        <v>Consorzio di bonifica Bacchiglione</v>
      </c>
      <c r="I1716" t="str">
        <f>"92223390284"</f>
        <v>92223390284</v>
      </c>
      <c r="J1716" t="str">
        <f>"23-AFFIDAMENTO DIRETTO"</f>
        <v>23-AFFIDAMENTO DIRETTO</v>
      </c>
      <c r="K1716" t="str">
        <f>"27/12/2021"</f>
        <v>27/12/2021</v>
      </c>
      <c r="L1716" t="str">
        <f>"31/12/2024"</f>
        <v>31/12/2024</v>
      </c>
      <c r="M1716" t="str">
        <f>""</f>
        <v/>
      </c>
      <c r="N1716" t="str">
        <f>"STUDIO VERTIX"</f>
        <v>STUDIO VERTIX</v>
      </c>
      <c r="O1716" t="str">
        <f>"STUDIO VERTIX"</f>
        <v>STUDIO VERTIX</v>
      </c>
      <c r="P1716" t="str">
        <f>"Z5234997C1: [19176.00€ ]"</f>
        <v>Z5234997C1: [19176.00€ ]</v>
      </c>
      <c r="Q1716" t="str">
        <f>""</f>
        <v/>
      </c>
      <c r="R1716" t="str">
        <f>""</f>
        <v/>
      </c>
      <c r="S1716" t="str">
        <f>""</f>
        <v/>
      </c>
      <c r="T1716" t="str">
        <f>"https://portaletrasparenza.consorziobacchiglione.it/dettagli/attodigara/7378/canone-di-assistenza-e-gestione-degli-applicativi-web-munera-emissione-e-rendicontazione-contributi-consortili-biennio-2022-2023-con-opzione-unilaterale-per-l-anno-2024.html"</f>
        <v>https://portaletrasparenza.consorziobacchiglione.it/dettagli/attodigara/7378/canone-di-assistenza-e-gestione-degli-applicativi-web-munera-emissione-e-rendicontazione-contributi-consortili-biennio-2022-2023-con-opzione-unilaterale-per-l-anno-2024.html</v>
      </c>
      <c r="U1716" t="str">
        <f>"https://portaletrasparenza.consorziobacchiglione.it/download/attodigara/7378/63ac46009952b.PDF"</f>
        <v>https://portaletrasparenza.consorziobacchiglione.it/download/attodigara/7378/63ac46009952b.PDF</v>
      </c>
      <c r="V1716">
        <f>(SUBSTITUTE(Tabella1[[#This Row],[Importo di aggiudicazione]],".",","))-(SUBSTITUTE(  SUBSTITUTE(          SUBSTITUTE(Tabella1[[#This Row],[Dettaglio somme liquidate]],Tabella1[[#This Row],[CIG]]&amp;": [",""),"€ ]",""),".",","))</f>
        <v>12648</v>
      </c>
    </row>
    <row r="1717" spans="1:22" x14ac:dyDescent="0.3">
      <c r="A1717" t="str">
        <f>"Affidamento"</f>
        <v>Affidamento</v>
      </c>
      <c r="B1717" t="str">
        <f>"Noleggio escavatore cingolato Hitachi zx 210 per lavori Idrovora Madonetta."</f>
        <v>Noleggio escavatore cingolato Hitachi zx 210 per lavori Idrovora Madonetta.</v>
      </c>
      <c r="C1717" t="str">
        <f>"Z1D1842885"</f>
        <v>Z1D1842885</v>
      </c>
      <c r="D1717" t="str">
        <f>"04/11/2021"</f>
        <v>04/11/2021</v>
      </c>
      <c r="E1717" t="str">
        <f>""</f>
        <v/>
      </c>
      <c r="F1717" t="str">
        <f>""</f>
        <v/>
      </c>
      <c r="G1717" t="str">
        <f>"3600.00"</f>
        <v>3600.00</v>
      </c>
      <c r="H1717" t="str">
        <f>"Consorzio di bonifica Bacchiglione"</f>
        <v>Consorzio di bonifica Bacchiglione</v>
      </c>
      <c r="I1717" t="str">
        <f>"92223390284"</f>
        <v>92223390284</v>
      </c>
      <c r="J1717" t="str">
        <f>"23-AFFIDAMENTO DIRETTO"</f>
        <v>23-AFFIDAMENTO DIRETTO</v>
      </c>
      <c r="K1717" t="str">
        <f>"28/01/2021"</f>
        <v>28/01/2021</v>
      </c>
      <c r="L1717" t="str">
        <f>"18/03/2021"</f>
        <v>18/03/2021</v>
      </c>
      <c r="M1717" t="str">
        <f>""</f>
        <v/>
      </c>
      <c r="N1717" t="str">
        <f>"Sorme Noleggi s.a.s. Via Monache 21 35030 Selvazzano Dentro PD"</f>
        <v>Sorme Noleggi s.a.s. Via Monache 21 35030 Selvazzano Dentro PD</v>
      </c>
      <c r="O1717" t="str">
        <f>"Sorme Noleggi s.a.s. Via Monache 21 35030 Selvazzano Dentro PD"</f>
        <v>Sorme Noleggi s.a.s. Via Monache 21 35030 Selvazzano Dentro PD</v>
      </c>
      <c r="P1717" t="str">
        <f>"Z1D1842885: [3600.00€ ]"</f>
        <v>Z1D1842885: [3600.00€ ]</v>
      </c>
      <c r="Q1717" t="str">
        <f>""</f>
        <v/>
      </c>
      <c r="R1717" t="str">
        <f>""</f>
        <v/>
      </c>
      <c r="S1717" t="str">
        <f>""</f>
        <v/>
      </c>
      <c r="T1717" t="str">
        <f>"https://portaletrasparenza.consorziobacchiglione.it/dettagli/attodigara/107/noleggio-escavatore-cingolato-hitachi-zx-210-per-lavori-idrovora-madonetta.html"</f>
        <v>https://portaletrasparenza.consorziobacchiglione.it/dettagli/attodigara/107/noleggio-escavatore-cingolato-hitachi-zx-210-per-lavori-idrovora-madonetta.html</v>
      </c>
      <c r="U1717" t="str">
        <f>""</f>
        <v/>
      </c>
      <c r="V171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18" spans="1:22" x14ac:dyDescent="0.3">
      <c r="A1718" t="str">
        <f>"Affidamento"</f>
        <v>Affidamento</v>
      </c>
      <c r="B1718" t="str">
        <f>"Manutenzione e riparazione mezzi con targa: CB934XY, PDB49360, DA204YW."</f>
        <v>Manutenzione e riparazione mezzi con targa: CB934XY, PDB49360, DA204YW.</v>
      </c>
      <c r="C1718" t="str">
        <f>"Z6218420A5"</f>
        <v>Z6218420A5</v>
      </c>
      <c r="D1718" t="str">
        <f>"04/11/2021"</f>
        <v>04/11/2021</v>
      </c>
      <c r="E1718" t="str">
        <f>""</f>
        <v/>
      </c>
      <c r="F1718" t="str">
        <f>""</f>
        <v/>
      </c>
      <c r="G1718" t="str">
        <f>"1881.25"</f>
        <v>1881.25</v>
      </c>
      <c r="H1718" t="str">
        <f>"Consorzio di bonifica Bacchiglione"</f>
        <v>Consorzio di bonifica Bacchiglione</v>
      </c>
      <c r="I1718" t="str">
        <f>"92223390284"</f>
        <v>92223390284</v>
      </c>
      <c r="J1718" t="str">
        <f>"23-AFFIDAMENTO DIRETTO"</f>
        <v>23-AFFIDAMENTO DIRETTO</v>
      </c>
      <c r="K1718" t="str">
        <f>"28/01/2021"</f>
        <v>28/01/2021</v>
      </c>
      <c r="L1718" t="str">
        <f>"22/02/2021"</f>
        <v>22/02/2021</v>
      </c>
      <c r="M1718" t="str">
        <f>""</f>
        <v/>
      </c>
      <c r="N1718" t="str">
        <f>"Mardegan F.lli s.n.c. Via Argine Destro 13A 35020 Brenta di Correzzola PD"</f>
        <v>Mardegan F.lli s.n.c. Via Argine Destro 13A 35020 Brenta di Correzzola PD</v>
      </c>
      <c r="O1718" t="str">
        <f>"Mardegan F.lli s.n.c. Via Argine Destro 13A 35020 Brenta di Correzzola PD"</f>
        <v>Mardegan F.lli s.n.c. Via Argine Destro 13A 35020 Brenta di Correzzola PD</v>
      </c>
      <c r="P1718" t="str">
        <f>"Z6218420A5: [1881.25€ ]"</f>
        <v>Z6218420A5: [1881.25€ ]</v>
      </c>
      <c r="Q1718" t="str">
        <f>""</f>
        <v/>
      </c>
      <c r="R1718" t="str">
        <f>""</f>
        <v/>
      </c>
      <c r="S1718" t="str">
        <f>""</f>
        <v/>
      </c>
      <c r="T1718" t="str">
        <f>"https://portaletrasparenza.consorziobacchiglione.it/dettagli/attodigara/106/manutenzione-e-riparazione-mezzi-con-targa-cb934xy-pdb49360-da204yw.html"</f>
        <v>https://portaletrasparenza.consorziobacchiglione.it/dettagli/attodigara/106/manutenzione-e-riparazione-mezzi-con-targa-cb934xy-pdb49360-da204yw.html</v>
      </c>
      <c r="U1718" t="str">
        <f>""</f>
        <v/>
      </c>
      <c r="V171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19" spans="1:22" x14ac:dyDescent="0.3">
      <c r="A1719" t="str">
        <f>"Affidamento"</f>
        <v>Affidamento</v>
      </c>
      <c r="B1719" t="str">
        <f>"Analisi di terreno e sedimento su scoli Consorziali : Scolo Altipiano e diramazione Altipiano."</f>
        <v>Analisi di terreno e sedimento su scoli Consorziali : Scolo Altipiano e diramazione Altipiano.</v>
      </c>
      <c r="C1719" t="str">
        <f>"Z1F1841F41"</f>
        <v>Z1F1841F41</v>
      </c>
      <c r="D1719" t="str">
        <f>"04/11/2021"</f>
        <v>04/11/2021</v>
      </c>
      <c r="E1719" t="str">
        <f>""</f>
        <v/>
      </c>
      <c r="F1719" t="str">
        <f>""</f>
        <v/>
      </c>
      <c r="G1719" t="str">
        <f>"4200.00"</f>
        <v>4200.00</v>
      </c>
      <c r="H1719" t="str">
        <f>"Consorzio di bonifica Bacchiglione"</f>
        <v>Consorzio di bonifica Bacchiglione</v>
      </c>
      <c r="I1719" t="str">
        <f>"92223390284"</f>
        <v>92223390284</v>
      </c>
      <c r="J1719" t="str">
        <f>"23-AFFIDAMENTO DIRETTO"</f>
        <v>23-AFFIDAMENTO DIRETTO</v>
      </c>
      <c r="K1719" t="str">
        <f>"28/01/2021"</f>
        <v>28/01/2021</v>
      </c>
      <c r="L1719" t="str">
        <f>"30/06/2021"</f>
        <v>30/06/2021</v>
      </c>
      <c r="M1719" t="str">
        <f>""</f>
        <v/>
      </c>
      <c r="N1719" t="str">
        <f>"Innovazione Chimica s.r.l. Via Lazio 36 31045 Motta di Livenza TV"</f>
        <v>Innovazione Chimica s.r.l. Via Lazio 36 31045 Motta di Livenza TV</v>
      </c>
      <c r="O1719" t="str">
        <f>"Innovazione Chimica s.r.l. Via Lazio 36 31045 Motta di Livenza TV"</f>
        <v>Innovazione Chimica s.r.l. Via Lazio 36 31045 Motta di Livenza TV</v>
      </c>
      <c r="P1719" t="str">
        <f>"Z1F1841F41: [4200.00€ ]"</f>
        <v>Z1F1841F41: [4200.00€ ]</v>
      </c>
      <c r="Q1719" t="str">
        <f>""</f>
        <v/>
      </c>
      <c r="R1719" t="str">
        <f>""</f>
        <v/>
      </c>
      <c r="S1719" t="str">
        <f>""</f>
        <v/>
      </c>
      <c r="T1719" t="str">
        <f>"https://portaletrasparenza.consorziobacchiglione.it/dettagli/attodigara/105/analisi-di-terreno-e-sedimento-su-scoli-consorziali-scolo-altipiano-e-diramazione-altipiano.html"</f>
        <v>https://portaletrasparenza.consorziobacchiglione.it/dettagli/attodigara/105/analisi-di-terreno-e-sedimento-su-scoli-consorziali-scolo-altipiano-e-diramazione-altipiano.html</v>
      </c>
      <c r="U1719" t="str">
        <f>""</f>
        <v/>
      </c>
      <c r="V171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20" spans="1:22" x14ac:dyDescent="0.3">
      <c r="A1720" t="str">
        <f>"Affidamento"</f>
        <v>Affidamento</v>
      </c>
      <c r="B1720" t="str">
        <f>"Noleggio camion o dumper per trasporto terra scolo Brentella."</f>
        <v>Noleggio camion o dumper per trasporto terra scolo Brentella.</v>
      </c>
      <c r="C1720" t="str">
        <f>"Z701841D8E"</f>
        <v>Z701841D8E</v>
      </c>
      <c r="D1720" t="str">
        <f>"04/11/2021"</f>
        <v>04/11/2021</v>
      </c>
      <c r="E1720" t="str">
        <f>""</f>
        <v/>
      </c>
      <c r="F1720" t="str">
        <f>""</f>
        <v/>
      </c>
      <c r="G1720" t="str">
        <f>"945.00"</f>
        <v>945.00</v>
      </c>
      <c r="H1720" t="str">
        <f>"Consorzio di bonifica Bacchiglione"</f>
        <v>Consorzio di bonifica Bacchiglione</v>
      </c>
      <c r="I1720" t="str">
        <f>"92223390284"</f>
        <v>92223390284</v>
      </c>
      <c r="J1720" t="str">
        <f>"23-AFFIDAMENTO DIRETTO"</f>
        <v>23-AFFIDAMENTO DIRETTO</v>
      </c>
      <c r="K1720" t="str">
        <f>"28/01/2021"</f>
        <v>28/01/2021</v>
      </c>
      <c r="L1720" t="str">
        <f>"31/03/2021"</f>
        <v>31/03/2021</v>
      </c>
      <c r="M1720" t="str">
        <f>""</f>
        <v/>
      </c>
      <c r="N1720" t="str">
        <f>"Viale Valter Via 1° Maggio 124 30010 Campagna Lupia VE"</f>
        <v>Viale Valter Via 1° Maggio 124 30010 Campagna Lupia VE</v>
      </c>
      <c r="O1720" t="str">
        <f>"Viale Valter Via 1° Maggio 124 30010 Campagna Lupia VE"</f>
        <v>Viale Valter Via 1° Maggio 124 30010 Campagna Lupia VE</v>
      </c>
      <c r="P1720" t="str">
        <f>"Z701841D8E: [945.00€ ]"</f>
        <v>Z701841D8E: [945.00€ ]</v>
      </c>
      <c r="Q1720" t="str">
        <f>""</f>
        <v/>
      </c>
      <c r="R1720" t="str">
        <f>""</f>
        <v/>
      </c>
      <c r="S1720" t="str">
        <f>""</f>
        <v/>
      </c>
      <c r="T1720" t="str">
        <f>"https://portaletrasparenza.consorziobacchiglione.it/dettagli/attodigara/104/noleggio-camion-o-dumper-per-trasporto-terra-scolo-brentella.html"</f>
        <v>https://portaletrasparenza.consorziobacchiglione.it/dettagli/attodigara/104/noleggio-camion-o-dumper-per-trasporto-terra-scolo-brentella.html</v>
      </c>
      <c r="U1720" t="str">
        <f>""</f>
        <v/>
      </c>
      <c r="V172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21" spans="1:22" x14ac:dyDescent="0.3">
      <c r="A1721" t="str">
        <f>"Affidamento"</f>
        <v>Affidamento</v>
      </c>
      <c r="B1721" t="str">
        <f>"Fornitura di un Attuatore Drehmo tipo D.249-E-80 da 250 NM completo per Idrovora di Treponti."</f>
        <v>Fornitura di un Attuatore Drehmo tipo D.249-E-80 da 250 NM completo per Idrovora di Treponti.</v>
      </c>
      <c r="C1721" t="str">
        <f>"ZB1184149A"</f>
        <v>ZB1184149A</v>
      </c>
      <c r="D1721" t="str">
        <f>"04/11/2021"</f>
        <v>04/11/2021</v>
      </c>
      <c r="E1721" t="str">
        <f>""</f>
        <v/>
      </c>
      <c r="F1721" t="str">
        <f>""</f>
        <v/>
      </c>
      <c r="G1721" t="str">
        <f>"3746.40"</f>
        <v>3746.40</v>
      </c>
      <c r="H1721" t="str">
        <f>"Consorzio di bonifica Bacchiglione"</f>
        <v>Consorzio di bonifica Bacchiglione</v>
      </c>
      <c r="I1721" t="str">
        <f>"92223390284"</f>
        <v>92223390284</v>
      </c>
      <c r="J1721" t="str">
        <f>"23-AFFIDAMENTO DIRETTO"</f>
        <v>23-AFFIDAMENTO DIRETTO</v>
      </c>
      <c r="K1721" t="str">
        <f>"28/01/2021"</f>
        <v>28/01/2021</v>
      </c>
      <c r="L1721" t="str">
        <f>"10/03/2021"</f>
        <v>10/03/2021</v>
      </c>
      <c r="M1721" t="str">
        <f>""</f>
        <v/>
      </c>
      <c r="N1721" t="str">
        <f>"Scarpa Sergio Elettromeccanica S.n.c. di Scarpa Paola E C. Via A. Vivaldi 7 35028 Piove di Sacco PD"</f>
        <v>Scarpa Sergio Elettromeccanica S.n.c. di Scarpa Paola E C. Via A. Vivaldi 7 35028 Piove di Sacco PD</v>
      </c>
      <c r="O1721" t="str">
        <f>"Scarpa Sergio Elettromeccanica S.n.c. di Scarpa Paola E C. Via A. Vivaldi 7 35028 Piove di Sacco PD"</f>
        <v>Scarpa Sergio Elettromeccanica S.n.c. di Scarpa Paola E C. Via A. Vivaldi 7 35028 Piove di Sacco PD</v>
      </c>
      <c r="P1721" t="str">
        <f>"ZB1184149A: [3746.40€ ]"</f>
        <v>ZB1184149A: [3746.40€ ]</v>
      </c>
      <c r="Q1721" t="str">
        <f>""</f>
        <v/>
      </c>
      <c r="R1721" t="str">
        <f>""</f>
        <v/>
      </c>
      <c r="S1721" t="str">
        <f>""</f>
        <v/>
      </c>
      <c r="T1721" t="str">
        <f>"https://portaletrasparenza.consorziobacchiglione.it/dettagli/attodigara/102/fornitura-di-un-attuatore-drehmo-tipo-d-249-e-80-da-250-nm-completo-per-idrovora-di-treponti.html"</f>
        <v>https://portaletrasparenza.consorziobacchiglione.it/dettagli/attodigara/102/fornitura-di-un-attuatore-drehmo-tipo-d-249-e-80-da-250-nm-completo-per-idrovora-di-treponti.html</v>
      </c>
      <c r="U1721" t="str">
        <f>""</f>
        <v/>
      </c>
      <c r="V17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22" spans="1:22" x14ac:dyDescent="0.3">
      <c r="A1722" t="str">
        <f>"Affidamento"</f>
        <v>Affidamento</v>
      </c>
      <c r="B1722" t="str">
        <f>"Riparazione e manutenzione elettroutensile C.O.S.Margherita ed elettrovalvola Idrovora Lova."</f>
        <v>Riparazione e manutenzione elettroutensile C.O.S.Margherita ed elettrovalvola Idrovora Lova.</v>
      </c>
      <c r="C1722" t="str">
        <f>"ZA2184118A"</f>
        <v>ZA2184118A</v>
      </c>
      <c r="D1722" t="str">
        <f>"04/11/2021"</f>
        <v>04/11/2021</v>
      </c>
      <c r="E1722" t="str">
        <f>""</f>
        <v/>
      </c>
      <c r="F1722" t="str">
        <f>""</f>
        <v/>
      </c>
      <c r="G1722" t="str">
        <f>"1180.80"</f>
        <v>1180.80</v>
      </c>
      <c r="H1722" t="str">
        <f>"Consorzio di bonifica Bacchiglione"</f>
        <v>Consorzio di bonifica Bacchiglione</v>
      </c>
      <c r="I1722" t="str">
        <f>"92223390284"</f>
        <v>92223390284</v>
      </c>
      <c r="J1722" t="str">
        <f>"23-AFFIDAMENTO DIRETTO"</f>
        <v>23-AFFIDAMENTO DIRETTO</v>
      </c>
      <c r="K1722" t="str">
        <f>"28/01/2021"</f>
        <v>28/01/2021</v>
      </c>
      <c r="L1722" t="str">
        <f>"10/03/2021"</f>
        <v>10/03/2021</v>
      </c>
      <c r="M1722" t="str">
        <f>""</f>
        <v/>
      </c>
      <c r="N1722" t="str">
        <f>"Scarpa Sergio Elettromeccanica S.n.c. di Scarpa Paola E C. Via A. Vivaldi 7 35028 Piove di Sacco PD"</f>
        <v>Scarpa Sergio Elettromeccanica S.n.c. di Scarpa Paola E C. Via A. Vivaldi 7 35028 Piove di Sacco PD</v>
      </c>
      <c r="O1722" t="str">
        <f>"Scarpa Sergio Elettromeccanica S.n.c. di Scarpa Paola E C. Via A. Vivaldi 7 35028 Piove di Sacco PD"</f>
        <v>Scarpa Sergio Elettromeccanica S.n.c. di Scarpa Paola E C. Via A. Vivaldi 7 35028 Piove di Sacco PD</v>
      </c>
      <c r="P1722" t="str">
        <f>"ZA2184118A: [1180.80€ ]"</f>
        <v>ZA2184118A: [1180.80€ ]</v>
      </c>
      <c r="Q1722" t="str">
        <f>""</f>
        <v/>
      </c>
      <c r="R1722" t="str">
        <f>""</f>
        <v/>
      </c>
      <c r="S1722" t="str">
        <f>""</f>
        <v/>
      </c>
      <c r="T1722" t="str">
        <f>"https://portaletrasparenza.consorziobacchiglione.it/dettagli/attodigara/101/riparazione-e-manutenzione-elettroutensile-c-o-s-margherita-ed-elettrovalvola-idrovora-lova.html"</f>
        <v>https://portaletrasparenza.consorziobacchiglione.it/dettagli/attodigara/101/riparazione-e-manutenzione-elettroutensile-c-o-s-margherita-ed-elettrovalvola-idrovora-lova.html</v>
      </c>
      <c r="U1722" t="str">
        <f>""</f>
        <v/>
      </c>
      <c r="V17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23" spans="1:22" x14ac:dyDescent="0.3">
      <c r="A1723" t="str">
        <f>"Affidamento"</f>
        <v>Affidamento</v>
      </c>
      <c r="B1723" t="str">
        <f>"Escavo e trasporto terra su scolo Brentella"</f>
        <v>Escavo e trasporto terra su scolo Brentella</v>
      </c>
      <c r="C1723" t="str">
        <f>"ZB918417BD"</f>
        <v>ZB918417BD</v>
      </c>
      <c r="D1723" t="str">
        <f>"04/11/2021"</f>
        <v>04/11/2021</v>
      </c>
      <c r="E1723" t="str">
        <f>""</f>
        <v/>
      </c>
      <c r="F1723" t="str">
        <f>""</f>
        <v/>
      </c>
      <c r="G1723" t="str">
        <f>"4750.00"</f>
        <v>4750.00</v>
      </c>
      <c r="H1723" t="str">
        <f>"Consorzio di bonifica Bacchiglione"</f>
        <v>Consorzio di bonifica Bacchiglione</v>
      </c>
      <c r="I1723" t="str">
        <f>"92223390284"</f>
        <v>92223390284</v>
      </c>
      <c r="J1723" t="str">
        <f>"23-AFFIDAMENTO DIRETTO"</f>
        <v>23-AFFIDAMENTO DIRETTO</v>
      </c>
      <c r="K1723" t="str">
        <f>"28/01/2021"</f>
        <v>28/01/2021</v>
      </c>
      <c r="L1723" t="str">
        <f>"31/12/2021"</f>
        <v>31/12/2021</v>
      </c>
      <c r="M1723" t="str">
        <f>""</f>
        <v/>
      </c>
      <c r="N1723" t="str">
        <f>"Viale Valter Via 1° Maggio 124 30010 Campagna Lupia VE"</f>
        <v>Viale Valter Via 1° Maggio 124 30010 Campagna Lupia VE</v>
      </c>
      <c r="O1723" t="str">
        <f>"Viale Valter Via 1° Maggio 124 30010 Campagna Lupia VE"</f>
        <v>Viale Valter Via 1° Maggio 124 30010 Campagna Lupia VE</v>
      </c>
      <c r="P1723" t="str">
        <f>"ZB918417BD: [0.00€ ]"</f>
        <v>ZB918417BD: [0.00€ ]</v>
      </c>
      <c r="Q1723" t="str">
        <f>""</f>
        <v/>
      </c>
      <c r="R1723" t="str">
        <f>""</f>
        <v/>
      </c>
      <c r="S1723" t="str">
        <f>""</f>
        <v/>
      </c>
      <c r="T1723" t="str">
        <f>"https://portaletrasparenza.consorziobacchiglione.it/dettagli/attodigara/103/escavo-e-trasporto-terra-su-scolo-brentella.html"</f>
        <v>https://portaletrasparenza.consorziobacchiglione.it/dettagli/attodigara/103/escavo-e-trasporto-terra-su-scolo-brentella.html</v>
      </c>
      <c r="U1723" t="str">
        <f>""</f>
        <v/>
      </c>
      <c r="V1723">
        <f>(SUBSTITUTE(Tabella1[[#This Row],[Importo di aggiudicazione]],".",","))-(SUBSTITUTE(  SUBSTITUTE(          SUBSTITUTE(Tabella1[[#This Row],[Dettaglio somme liquidate]],Tabella1[[#This Row],[CIG]]&amp;": [",""),"€ ]",""),".",","))</f>
        <v>4750</v>
      </c>
    </row>
    <row r="1724" spans="1:22" x14ac:dyDescent="0.3">
      <c r="A1724" t="str">
        <f>"Affidamento"</f>
        <v>Affidamento</v>
      </c>
      <c r="B1724" t="str">
        <f>"Manutenzione inverter n.4 presso Impianto Idrovora Baldon"</f>
        <v>Manutenzione inverter n.4 presso Impianto Idrovora Baldon</v>
      </c>
      <c r="C1724" t="str">
        <f>"Z1E3068A66"</f>
        <v>Z1E3068A66</v>
      </c>
      <c r="D1724" t="str">
        <f>"28/01/2021"</f>
        <v>28/01/2021</v>
      </c>
      <c r="E1724" t="str">
        <f>""</f>
        <v/>
      </c>
      <c r="F1724" t="str">
        <f>""</f>
        <v/>
      </c>
      <c r="G1724" t="str">
        <f>"8305.61"</f>
        <v>8305.61</v>
      </c>
      <c r="H1724" t="str">
        <f>"Consorzio di bonifica Bacchiglione"</f>
        <v>Consorzio di bonifica Bacchiglione</v>
      </c>
      <c r="I1724" t="str">
        <f>"92223390284"</f>
        <v>92223390284</v>
      </c>
      <c r="J1724" t="str">
        <f>"23-AFFIDAMENTO DIRETTO"</f>
        <v>23-AFFIDAMENTO DIRETTO</v>
      </c>
      <c r="K1724" t="str">
        <f>"28/01/2021"</f>
        <v>28/01/2021</v>
      </c>
      <c r="L1724" t="str">
        <f>"26/02/2021"</f>
        <v>26/02/2021</v>
      </c>
      <c r="M1724" t="str">
        <f>""</f>
        <v/>
      </c>
      <c r="N1724" t="str">
        <f>"Servizi Tecnologici S.r.l.Via Casa Cucchi, 9 - 37024 Negrar di Valpolicella (VR)"</f>
        <v>Servizi Tecnologici S.r.l.Via Casa Cucchi, 9 - 37024 Negrar di Valpolicella (VR)</v>
      </c>
      <c r="O1724" t="str">
        <f>"Servizi Tecnologici S.r.l.Via Casa Cucchi, 9 - 37024 Negrar di Valpolicella (VR)"</f>
        <v>Servizi Tecnologici S.r.l.Via Casa Cucchi, 9 - 37024 Negrar di Valpolicella (VR)</v>
      </c>
      <c r="P1724" t="str">
        <f>"Z1E3068A66: [8305.61€ ]"</f>
        <v>Z1E3068A66: [8305.61€ ]</v>
      </c>
      <c r="Q1724" t="str">
        <f>""</f>
        <v/>
      </c>
      <c r="R1724" t="str">
        <f>""</f>
        <v/>
      </c>
      <c r="S1724" t="str">
        <f>""</f>
        <v/>
      </c>
      <c r="T1724" t="str">
        <f>"https://portaletrasparenza.consorziobacchiglione.it/dettagli/attodigara/6592/manutenzione-inverter-n-4-presso-impianto-idrovora-baldon.html"</f>
        <v>https://portaletrasparenza.consorziobacchiglione.it/dettagli/attodigara/6592/manutenzione-inverter-n-4-presso-impianto-idrovora-baldon.html</v>
      </c>
      <c r="U1724" t="str">
        <f>"https://portaletrasparenza.consorziobacchiglione.it/download/attodigara/6592/63ac45528d5c5.PDF"</f>
        <v>https://portaletrasparenza.consorziobacchiglione.it/download/attodigara/6592/63ac45528d5c5.PDF</v>
      </c>
      <c r="V17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25" spans="1:22" x14ac:dyDescent="0.3">
      <c r="A1725" t="str">
        <f>"Affidamento"</f>
        <v>Affidamento</v>
      </c>
      <c r="B1725" t="str">
        <f>"Lavori di sistemazione davanzali in cemento presso l'abitazione del custode C.O.Porta Trento"</f>
        <v>Lavori di sistemazione davanzali in cemento presso l'abitazione del custode C.O.Porta Trento</v>
      </c>
      <c r="C1725" t="str">
        <f>"Z9230677A9"</f>
        <v>Z9230677A9</v>
      </c>
      <c r="D1725" t="str">
        <f>"28/01/2021"</f>
        <v>28/01/2021</v>
      </c>
      <c r="E1725" t="str">
        <f>""</f>
        <v/>
      </c>
      <c r="F1725" t="str">
        <f>""</f>
        <v/>
      </c>
      <c r="G1725" t="str">
        <f>"1600.00"</f>
        <v>1600.00</v>
      </c>
      <c r="H1725" t="str">
        <f>"Consorzio di bonifica Bacchiglione"</f>
        <v>Consorzio di bonifica Bacchiglione</v>
      </c>
      <c r="I1725" t="str">
        <f>"92223390284"</f>
        <v>92223390284</v>
      </c>
      <c r="J1725" t="str">
        <f>"23-AFFIDAMENTO DIRETTO"</f>
        <v>23-AFFIDAMENTO DIRETTO</v>
      </c>
      <c r="K1725" t="str">
        <f>"28/01/2021"</f>
        <v>28/01/2021</v>
      </c>
      <c r="L1725" t="str">
        <f>"16/03/2021"</f>
        <v>16/03/2021</v>
      </c>
      <c r="M1725" t="str">
        <f>""</f>
        <v/>
      </c>
      <c r="N1725" t="str">
        <f>"Fassa E P. s.r.l. Via Pino da Zara, 74, 31050 Vascon TV"</f>
        <v>Fassa E P. s.r.l. Via Pino da Zara, 74, 31050 Vascon TV</v>
      </c>
      <c r="O1725" t="str">
        <f>"Fassa E P. s.r.l. Via Pino da Zara, 74, 31050 Vascon TV"</f>
        <v>Fassa E P. s.r.l. Via Pino da Zara, 74, 31050 Vascon TV</v>
      </c>
      <c r="P1725" t="str">
        <f>"Z9230677A9: [1600.00€ ]"</f>
        <v>Z9230677A9: [1600.00€ ]</v>
      </c>
      <c r="Q1725" t="str">
        <f>""</f>
        <v/>
      </c>
      <c r="R1725" t="str">
        <f>""</f>
        <v/>
      </c>
      <c r="S1725" t="str">
        <f>""</f>
        <v/>
      </c>
      <c r="T1725" t="str">
        <f>"https://portaletrasparenza.consorziobacchiglione.it/dettagli/attodigara/6591/lavori-di-sistemazione-davanzali-in-cemento-presso-l-abitazione-del-custode-c-o-porta-trento.html"</f>
        <v>https://portaletrasparenza.consorziobacchiglione.it/dettagli/attodigara/6591/lavori-di-sistemazione-davanzali-in-cemento-presso-l-abitazione-del-custode-c-o-porta-trento.html</v>
      </c>
      <c r="U1725" t="str">
        <f>"https://portaletrasparenza.consorziobacchiglione.it/download/attodigara/6591/63ac4552274d0.PDF"</f>
        <v>https://portaletrasparenza.consorziobacchiglione.it/download/attodigara/6591/63ac4552274d0.PDF</v>
      </c>
      <c r="V17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26" spans="1:22" x14ac:dyDescent="0.3">
      <c r="A1726" t="str">
        <f>"Affidamento"</f>
        <v>Affidamento</v>
      </c>
      <c r="B1726" t="str">
        <f>"Fornitura materiale vario per l'anno 2021 presso Bacino Pratiarcati, Montà Portello e Sesta Presa"</f>
        <v>Fornitura materiale vario per l'anno 2021 presso Bacino Pratiarcati, Montà Portello e Sesta Presa</v>
      </c>
      <c r="C1726" t="str">
        <f>"Z7C30666F2"</f>
        <v>Z7C30666F2</v>
      </c>
      <c r="D1726" t="str">
        <f>"28/01/2021"</f>
        <v>28/01/2021</v>
      </c>
      <c r="E1726" t="str">
        <f>""</f>
        <v/>
      </c>
      <c r="F1726" t="str">
        <f>""</f>
        <v/>
      </c>
      <c r="G1726" t="str">
        <f>"5000.00"</f>
        <v>5000.00</v>
      </c>
      <c r="H1726" t="str">
        <f>"Consorzio di bonifica Bacchiglione"</f>
        <v>Consorzio di bonifica Bacchiglione</v>
      </c>
      <c r="I1726" t="str">
        <f>"92223390284"</f>
        <v>92223390284</v>
      </c>
      <c r="J1726" t="str">
        <f>"23-AFFIDAMENTO DIRETTO"</f>
        <v>23-AFFIDAMENTO DIRETTO</v>
      </c>
      <c r="K1726" t="str">
        <f>"28/01/2021"</f>
        <v>28/01/2021</v>
      </c>
      <c r="L1726" t="str">
        <f>"31/12/2021"</f>
        <v>31/12/2021</v>
      </c>
      <c r="M1726" t="str">
        <f>""</f>
        <v/>
      </c>
      <c r="N1726" t="str">
        <f>"Chinaglia Bruno S.A.S di Chinaglia Pierpaolo E C. Via Vittorio Veneto 105 35028 Piove di Sacco PD"</f>
        <v>Chinaglia Bruno S.A.S di Chinaglia Pierpaolo E C. Via Vittorio Veneto 105 35028 Piove di Sacco PD</v>
      </c>
      <c r="O1726" t="str">
        <f>"Chinaglia Bruno S.A.S di Chinaglia Pierpaolo E C. Via Vittorio Veneto 105 35028 Piove di Sacco PD"</f>
        <v>Chinaglia Bruno S.A.S di Chinaglia Pierpaolo E C. Via Vittorio Veneto 105 35028 Piove di Sacco PD</v>
      </c>
      <c r="P1726" t="str">
        <f>"Z7C30666F2: [3139.40€ ]"</f>
        <v>Z7C30666F2: [3139.40€ ]</v>
      </c>
      <c r="Q1726" t="str">
        <f>""</f>
        <v/>
      </c>
      <c r="R1726" t="str">
        <f>""</f>
        <v/>
      </c>
      <c r="S1726" t="str">
        <f>""</f>
        <v/>
      </c>
      <c r="T1726" t="str">
        <f>"https://portaletrasparenza.consorziobacchiglione.it/dettagli/attodigara/6590/fornitura-materiale-vario-per-l-anno-2021-presso-bacino-pratiarcati-monta-portello-e-sesta-presa.html"</f>
        <v>https://portaletrasparenza.consorziobacchiglione.it/dettagli/attodigara/6590/fornitura-materiale-vario-per-l-anno-2021-presso-bacino-pratiarcati-monta-portello-e-sesta-presa.html</v>
      </c>
      <c r="U1726" t="str">
        <f>"https://portaletrasparenza.consorziobacchiglione.it/download/attodigara/6590/63ac4551598e6.PDF"</f>
        <v>https://portaletrasparenza.consorziobacchiglione.it/download/attodigara/6590/63ac4551598e6.PDF</v>
      </c>
      <c r="V1726">
        <f>(SUBSTITUTE(Tabella1[[#This Row],[Importo di aggiudicazione]],".",","))-(SUBSTITUTE(  SUBSTITUTE(          SUBSTITUTE(Tabella1[[#This Row],[Dettaglio somme liquidate]],Tabella1[[#This Row],[CIG]]&amp;": [",""),"€ ]",""),".",","))</f>
        <v>1860.6</v>
      </c>
    </row>
    <row r="1727" spans="1:22" x14ac:dyDescent="0.3">
      <c r="A1727" t="str">
        <f>"Affidamento"</f>
        <v>Affidamento</v>
      </c>
      <c r="B1727" t="str">
        <f>"Fornitura materiale edile per scolo Roggia Montalbano."</f>
        <v>Fornitura materiale edile per scolo Roggia Montalbano.</v>
      </c>
      <c r="C1727" t="str">
        <f>"ZC6199EFEA"</f>
        <v>ZC6199EFEA</v>
      </c>
      <c r="D1727" t="str">
        <f>"04/11/2021"</f>
        <v>04/11/2021</v>
      </c>
      <c r="E1727" t="str">
        <f>""</f>
        <v/>
      </c>
      <c r="F1727" t="str">
        <f>""</f>
        <v/>
      </c>
      <c r="G1727" t="str">
        <f>"113.00"</f>
        <v>113.00</v>
      </c>
      <c r="H1727" t="str">
        <f>"Consorzio di bonifica Bacchiglione"</f>
        <v>Consorzio di bonifica Bacchiglione</v>
      </c>
      <c r="I1727" t="str">
        <f>"92223390284"</f>
        <v>92223390284</v>
      </c>
      <c r="J1727" t="str">
        <f>"23-AFFIDAMENTO DIRETTO"</f>
        <v>23-AFFIDAMENTO DIRETTO</v>
      </c>
      <c r="K1727" t="str">
        <f>"28/04/2021"</f>
        <v>28/04/2021</v>
      </c>
      <c r="L1727" t="str">
        <f>"15/06/2021"</f>
        <v>15/06/2021</v>
      </c>
      <c r="M1727" t="str">
        <f>""</f>
        <v/>
      </c>
      <c r="N1727" t="str">
        <f>"Gollo Giovanni Via Vallona 65 35020 Conche di Codevigo PD"</f>
        <v>Gollo Giovanni Via Vallona 65 35020 Conche di Codevigo PD</v>
      </c>
      <c r="O1727" t="str">
        <f>"Gollo Giovanni Via Vallona 65 35020 Conche di Codevigo PD"</f>
        <v>Gollo Giovanni Via Vallona 65 35020 Conche di Codevigo PD</v>
      </c>
      <c r="P1727" t="str">
        <f>"ZC6199EFEA: [113.00€ ]"</f>
        <v>ZC6199EFEA: [113.00€ ]</v>
      </c>
      <c r="Q1727" t="str">
        <f>""</f>
        <v/>
      </c>
      <c r="R1727" t="str">
        <f>""</f>
        <v/>
      </c>
      <c r="S1727" t="str">
        <f>""</f>
        <v/>
      </c>
      <c r="T1727" t="str">
        <f>"https://portaletrasparenza.consorziobacchiglione.it/dettagli/attodigara/371/fornitura-materiale-edile-per-scolo-roggia-montalbano.html"</f>
        <v>https://portaletrasparenza.consorziobacchiglione.it/dettagli/attodigara/371/fornitura-materiale-edile-per-scolo-roggia-montalbano.html</v>
      </c>
      <c r="U1727" t="str">
        <f>""</f>
        <v/>
      </c>
      <c r="V172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28" spans="1:22" x14ac:dyDescent="0.3">
      <c r="A1728" t="str">
        <f>"Affidamento"</f>
        <v>Affidamento</v>
      </c>
      <c r="B1728" t="str">
        <f>"Fornitura pezzi di ricambio per mezzo con targa: AFW043"</f>
        <v>Fornitura pezzi di ricambio per mezzo con targa: AFW043</v>
      </c>
      <c r="C1728" t="str">
        <f>"Z29199ECD1"</f>
        <v>Z29199ECD1</v>
      </c>
      <c r="D1728" t="str">
        <f>"04/11/2021"</f>
        <v>04/11/2021</v>
      </c>
      <c r="E1728" t="str">
        <f>""</f>
        <v/>
      </c>
      <c r="F1728" t="str">
        <f>""</f>
        <v/>
      </c>
      <c r="G1728" t="str">
        <f>"1596.94"</f>
        <v>1596.94</v>
      </c>
      <c r="H1728" t="str">
        <f>"Consorzio di bonifica Bacchiglione"</f>
        <v>Consorzio di bonifica Bacchiglione</v>
      </c>
      <c r="I1728" t="str">
        <f>"92223390284"</f>
        <v>92223390284</v>
      </c>
      <c r="J1728" t="str">
        <f>"23-AFFIDAMENTO DIRETTO"</f>
        <v>23-AFFIDAMENTO DIRETTO</v>
      </c>
      <c r="K1728" t="str">
        <f>"28/04/2021"</f>
        <v>28/04/2021</v>
      </c>
      <c r="L1728" t="str">
        <f>"09/06/2021"</f>
        <v>09/06/2021</v>
      </c>
      <c r="M1728" t="str">
        <f>""</f>
        <v/>
      </c>
      <c r="N1728" t="str">
        <f>"Energreen Via Pietre 73 36026 Cagnano di Pojana Maggiore VI"</f>
        <v>Energreen Via Pietre 73 36026 Cagnano di Pojana Maggiore VI</v>
      </c>
      <c r="O1728" t="str">
        <f>"Energreen Via Pietre 73 36026 Cagnano di Pojana Maggiore VI"</f>
        <v>Energreen Via Pietre 73 36026 Cagnano di Pojana Maggiore VI</v>
      </c>
      <c r="P1728" t="str">
        <f>"Z29199ECD1: [1596.94€ ]"</f>
        <v>Z29199ECD1: [1596.94€ ]</v>
      </c>
      <c r="Q1728" t="str">
        <f>""</f>
        <v/>
      </c>
      <c r="R1728" t="str">
        <f>""</f>
        <v/>
      </c>
      <c r="S1728" t="str">
        <f>""</f>
        <v/>
      </c>
      <c r="T1728" t="str">
        <f>"https://portaletrasparenza.consorziobacchiglione.it/dettagli/attodigara/370/fornitura-pezzi-di-ricambio-per-mezzo-con-targa-afw043.html"</f>
        <v>https://portaletrasparenza.consorziobacchiglione.it/dettagli/attodigara/370/fornitura-pezzi-di-ricambio-per-mezzo-con-targa-afw043.html</v>
      </c>
      <c r="U1728" t="str">
        <f>""</f>
        <v/>
      </c>
      <c r="V172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29" spans="1:22" x14ac:dyDescent="0.3">
      <c r="A1729" t="str">
        <f>"Affidamento"</f>
        <v>Affidamento</v>
      </c>
      <c r="B1729" t="str">
        <f>"Noleggio escavatore Hitachi ZX135US per lavori scolo Bolzani."</f>
        <v>Noleggio escavatore Hitachi ZX135US per lavori scolo Bolzani.</v>
      </c>
      <c r="C1729" t="str">
        <f>"ZDC199EA14"</f>
        <v>ZDC199EA14</v>
      </c>
      <c r="D1729" t="str">
        <f>"04/11/2021"</f>
        <v>04/11/2021</v>
      </c>
      <c r="E1729" t="str">
        <f>""</f>
        <v/>
      </c>
      <c r="F1729" t="str">
        <f>""</f>
        <v/>
      </c>
      <c r="G1729" t="str">
        <f>"3000.00"</f>
        <v>3000.00</v>
      </c>
      <c r="H1729" t="str">
        <f>"Consorzio di bonifica Bacchiglione"</f>
        <v>Consorzio di bonifica Bacchiglione</v>
      </c>
      <c r="I1729" t="str">
        <f>"92223390284"</f>
        <v>92223390284</v>
      </c>
      <c r="J1729" t="str">
        <f>"23-AFFIDAMENTO DIRETTO"</f>
        <v>23-AFFIDAMENTO DIRETTO</v>
      </c>
      <c r="K1729" t="str">
        <f>"28/04/2021"</f>
        <v>28/04/2021</v>
      </c>
      <c r="L1729" t="str">
        <f>"30/06/2021"</f>
        <v>30/06/2021</v>
      </c>
      <c r="M1729" t="str">
        <f>""</f>
        <v/>
      </c>
      <c r="N1729" t="str">
        <f>"Sorme Noleggi s.a.s. Via Monache 21 35030 Selvazzano Dentro PD"</f>
        <v>Sorme Noleggi s.a.s. Via Monache 21 35030 Selvazzano Dentro PD</v>
      </c>
      <c r="O1729" t="str">
        <f>"Sorme Noleggi s.a.s. Via Monache 21 35030 Selvazzano Dentro PD"</f>
        <v>Sorme Noleggi s.a.s. Via Monache 21 35030 Selvazzano Dentro PD</v>
      </c>
      <c r="P1729" t="str">
        <f>"ZDC199EA14: [3000.00€ ]"</f>
        <v>ZDC199EA14: [3000.00€ ]</v>
      </c>
      <c r="Q1729" t="str">
        <f>""</f>
        <v/>
      </c>
      <c r="R1729" t="str">
        <f>""</f>
        <v/>
      </c>
      <c r="S1729" t="str">
        <f>""</f>
        <v/>
      </c>
      <c r="T1729" t="str">
        <f>"https://portaletrasparenza.consorziobacchiglione.it/dettagli/attodigara/369/noleggio-escavatore-hitachi-zx135us-per-lavori-scolo-bolzani.html"</f>
        <v>https://portaletrasparenza.consorziobacchiglione.it/dettagli/attodigara/369/noleggio-escavatore-hitachi-zx135us-per-lavori-scolo-bolzani.html</v>
      </c>
      <c r="U1729" t="str">
        <f>""</f>
        <v/>
      </c>
      <c r="V17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30" spans="1:22" x14ac:dyDescent="0.3">
      <c r="A1730" t="str">
        <f>"Affidamento"</f>
        <v>Affidamento</v>
      </c>
      <c r="B1730" t="str">
        <f>"Fornitura sasso trachitico per scolo Bolzani."</f>
        <v>Fornitura sasso trachitico per scolo Bolzani.</v>
      </c>
      <c r="C1730" t="str">
        <f>"Z2D199E803"</f>
        <v>Z2D199E803</v>
      </c>
      <c r="D1730" t="str">
        <f>"04/11/2021"</f>
        <v>04/11/2021</v>
      </c>
      <c r="E1730" t="str">
        <f>""</f>
        <v/>
      </c>
      <c r="F1730" t="str">
        <f>""</f>
        <v/>
      </c>
      <c r="G1730" t="str">
        <f>"3565.00"</f>
        <v>3565.00</v>
      </c>
      <c r="H1730" t="str">
        <f>"Consorzio di bonifica Bacchiglione"</f>
        <v>Consorzio di bonifica Bacchiglione</v>
      </c>
      <c r="I1730" t="str">
        <f>"92223390284"</f>
        <v>92223390284</v>
      </c>
      <c r="J1730" t="str">
        <f>"23-AFFIDAMENTO DIRETTO"</f>
        <v>23-AFFIDAMENTO DIRETTO</v>
      </c>
      <c r="K1730" t="str">
        <f>"28/04/2021"</f>
        <v>28/04/2021</v>
      </c>
      <c r="L1730" t="str">
        <f>"26/05/2021"</f>
        <v>26/05/2021</v>
      </c>
      <c r="M1730" t="str">
        <f>""</f>
        <v/>
      </c>
      <c r="N1730" t="str">
        <f>"Martini Luciano s.r.l. Via Bagnara Alta 1172 35030 VO PD"</f>
        <v>Martini Luciano s.r.l. Via Bagnara Alta 1172 35030 VO PD</v>
      </c>
      <c r="O1730" t="str">
        <f>"Martini Luciano s.r.l. Via Bagnara Alta 1172 35030 VO PD"</f>
        <v>Martini Luciano s.r.l. Via Bagnara Alta 1172 35030 VO PD</v>
      </c>
      <c r="P1730" t="str">
        <f>"Z2D199E803: [3565.00€ ]"</f>
        <v>Z2D199E803: [3565.00€ ]</v>
      </c>
      <c r="Q1730" t="str">
        <f>""</f>
        <v/>
      </c>
      <c r="R1730" t="str">
        <f>""</f>
        <v/>
      </c>
      <c r="S1730" t="str">
        <f>""</f>
        <v/>
      </c>
      <c r="T1730" t="str">
        <f>"https://portaletrasparenza.consorziobacchiglione.it/dettagli/attodigara/368/fornitura-sasso-trachitico-per-scolo-bolzani.html"</f>
        <v>https://portaletrasparenza.consorziobacchiglione.it/dettagli/attodigara/368/fornitura-sasso-trachitico-per-scolo-bolzani.html</v>
      </c>
      <c r="U1730" t="str">
        <f>""</f>
        <v/>
      </c>
      <c r="V173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31" spans="1:22" x14ac:dyDescent="0.3">
      <c r="A1731" t="str">
        <f>"Affidamento"</f>
        <v>Affidamento</v>
      </c>
      <c r="B1731" t="str">
        <f>"Servizio noleggio autogrù in località Cà Nordio per sollevamento ed installazione motore elettropompa n.1"</f>
        <v>Servizio noleggio autogrù in località Cà Nordio per sollevamento ed installazione motore elettropompa n.1</v>
      </c>
      <c r="C1731" t="str">
        <f>"Z8A3189901"</f>
        <v>Z8A3189901</v>
      </c>
      <c r="D1731" t="str">
        <f>"29/04/2021"</f>
        <v>29/04/2021</v>
      </c>
      <c r="E1731" t="str">
        <f>""</f>
        <v/>
      </c>
      <c r="F1731" t="str">
        <f>""</f>
        <v/>
      </c>
      <c r="G1731" t="str">
        <f>"1520.00"</f>
        <v>1520.00</v>
      </c>
      <c r="H1731" t="str">
        <f>"Consorzio di bonifica Bacchiglione"</f>
        <v>Consorzio di bonifica Bacchiglione</v>
      </c>
      <c r="I1731" t="str">
        <f>"92223390284"</f>
        <v>92223390284</v>
      </c>
      <c r="J1731" t="str">
        <f>"23-AFFIDAMENTO DIRETTO"</f>
        <v>23-AFFIDAMENTO DIRETTO</v>
      </c>
      <c r="K1731" t="str">
        <f>"28/04/2021"</f>
        <v>28/04/2021</v>
      </c>
      <c r="L1731" t="str">
        <f>"31/08/2021"</f>
        <v>31/08/2021</v>
      </c>
      <c r="M1731" t="str">
        <f>""</f>
        <v/>
      </c>
      <c r="N1731" t="str">
        <f>"Aggio e Figli Autotrasporti s.r.l. Via Chiusure 47 35020 Maserà di Padova PD"</f>
        <v>Aggio e Figli Autotrasporti s.r.l. Via Chiusure 47 35020 Maserà di Padova PD</v>
      </c>
      <c r="O1731" t="str">
        <f>"Aggio e Figli Autotrasporti s.r.l. Via Chiusure 47 35020 Maserà di Padova PD"</f>
        <v>Aggio e Figli Autotrasporti s.r.l. Via Chiusure 47 35020 Maserà di Padova PD</v>
      </c>
      <c r="P1731" t="str">
        <f>"Z8A3189901: [1520.00€ ]"</f>
        <v>Z8A3189901: [1520.00€ ]</v>
      </c>
      <c r="Q1731" t="str">
        <f>""</f>
        <v/>
      </c>
      <c r="R1731" t="str">
        <f>""</f>
        <v/>
      </c>
      <c r="S1731" t="str">
        <f>""</f>
        <v/>
      </c>
      <c r="T1731" t="str">
        <f>"https://portaletrasparenza.consorziobacchiglione.it/dettagli/attodigara/6838/servizio-noleggio-autogru-in-localita-ca-nordio-per-sollevamento-ed-installazione-motore-elettropompa-n-1.html"</f>
        <v>https://portaletrasparenza.consorziobacchiglione.it/dettagli/attodigara/6838/servizio-noleggio-autogru-in-localita-ca-nordio-per-sollevamento-ed-installazione-motore-elettropompa-n-1.html</v>
      </c>
      <c r="U1731" t="str">
        <f>"https://portaletrasparenza.consorziobacchiglione.it/download/attodigara/6838/63ac458638a40.PDF"</f>
        <v>https://portaletrasparenza.consorziobacchiglione.it/download/attodigara/6838/63ac458638a40.PDF</v>
      </c>
      <c r="V17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32" spans="1:22" x14ac:dyDescent="0.3">
      <c r="A1732" t="str">
        <f>"Affidamento"</f>
        <v>Affidamento</v>
      </c>
      <c r="B1732" t="str">
        <f>"Lavori di esecuzione manufatto presso scolo Menona Alta"</f>
        <v>Lavori di esecuzione manufatto presso scolo Menona Alta</v>
      </c>
      <c r="C1732" t="str">
        <f>"Z5D3188CE0"</f>
        <v>Z5D3188CE0</v>
      </c>
      <c r="D1732" t="str">
        <f>"29/04/2021"</f>
        <v>29/04/2021</v>
      </c>
      <c r="E1732" t="str">
        <f>""</f>
        <v/>
      </c>
      <c r="F1732" t="str">
        <f>""</f>
        <v/>
      </c>
      <c r="G1732" t="str">
        <f>"3450.00"</f>
        <v>3450.00</v>
      </c>
      <c r="H1732" t="str">
        <f>"Consorzio di bonifica Bacchiglione"</f>
        <v>Consorzio di bonifica Bacchiglione</v>
      </c>
      <c r="I1732" t="str">
        <f>"92223390284"</f>
        <v>92223390284</v>
      </c>
      <c r="J1732" t="str">
        <f>"23-AFFIDAMENTO DIRETTO"</f>
        <v>23-AFFIDAMENTO DIRETTO</v>
      </c>
      <c r="K1732" t="str">
        <f>"28/04/2021"</f>
        <v>28/04/2021</v>
      </c>
      <c r="L1732" t="str">
        <f>"24/05/2021"</f>
        <v>24/05/2021</v>
      </c>
      <c r="M1732" t="str">
        <f>""</f>
        <v/>
      </c>
      <c r="N1732" t="str">
        <f>"Impresa Pasqual Zemiro S.R.L. Via seriola veneta sinistra 64 30034 Malcontenta VE"</f>
        <v>Impresa Pasqual Zemiro S.R.L. Via seriola veneta sinistra 64 30034 Malcontenta VE</v>
      </c>
      <c r="O1732" t="str">
        <f>"Impresa Pasqual Zemiro S.R.L. Via seriola veneta sinistra 64 30034 Malcontenta VE"</f>
        <v>Impresa Pasqual Zemiro S.R.L. Via seriola veneta sinistra 64 30034 Malcontenta VE</v>
      </c>
      <c r="P1732" t="str">
        <f>"Z5D3188CE0: [3450.00€ ]"</f>
        <v>Z5D3188CE0: [3450.00€ ]</v>
      </c>
      <c r="Q1732" t="str">
        <f>""</f>
        <v/>
      </c>
      <c r="R1732" t="str">
        <f>""</f>
        <v/>
      </c>
      <c r="S1732" t="str">
        <f>""</f>
        <v/>
      </c>
      <c r="T1732" t="str">
        <f>"https://portaletrasparenza.consorziobacchiglione.it/dettagli/attodigara/6836/lavori-di-esecuzione-manufatto-presso-scolo-menona-alta.html"</f>
        <v>https://portaletrasparenza.consorziobacchiglione.it/dettagli/attodigara/6836/lavori-di-esecuzione-manufatto-presso-scolo-menona-alta.html</v>
      </c>
      <c r="U1732" t="str">
        <f>"https://portaletrasparenza.consorziobacchiglione.it/download/attodigara/6836/63ac4585baf80.PDF"</f>
        <v>https://portaletrasparenza.consorziobacchiglione.it/download/attodigara/6836/63ac4585baf80.PDF</v>
      </c>
      <c r="V17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33" spans="1:22" x14ac:dyDescent="0.3">
      <c r="A1733" t="str">
        <f>"Affidamento"</f>
        <v>Affidamento</v>
      </c>
      <c r="B1733" t="str">
        <f>"Tagliando completo del mezzo Kubota KX080-4 Matr.71964"</f>
        <v>Tagliando completo del mezzo Kubota KX080-4 Matr.71964</v>
      </c>
      <c r="C1733" t="str">
        <f>"ZB031888C6"</f>
        <v>ZB031888C6</v>
      </c>
      <c r="D1733" t="str">
        <f>"29/04/2021"</f>
        <v>29/04/2021</v>
      </c>
      <c r="E1733" t="str">
        <f>""</f>
        <v/>
      </c>
      <c r="F1733" t="str">
        <f>""</f>
        <v/>
      </c>
      <c r="G1733" t="str">
        <f>"1308.85"</f>
        <v>1308.85</v>
      </c>
      <c r="H1733" t="str">
        <f>"Consorzio di bonifica Bacchiglione"</f>
        <v>Consorzio di bonifica Bacchiglione</v>
      </c>
      <c r="I1733" t="str">
        <f>"92223390284"</f>
        <v>92223390284</v>
      </c>
      <c r="J1733" t="str">
        <f>"23-AFFIDAMENTO DIRETTO"</f>
        <v>23-AFFIDAMENTO DIRETTO</v>
      </c>
      <c r="K1733" t="str">
        <f>"28/04/2021"</f>
        <v>28/04/2021</v>
      </c>
      <c r="L1733" t="str">
        <f>"07/05/2021"</f>
        <v>07/05/2021</v>
      </c>
      <c r="M1733" t="str">
        <f>""</f>
        <v/>
      </c>
      <c r="N1733" t="str">
        <f>"Sorme s.n.c. Via Monache 21 35030 Selvazzano Dentro PD"</f>
        <v>Sorme s.n.c. Via Monache 21 35030 Selvazzano Dentro PD</v>
      </c>
      <c r="O1733" t="str">
        <f>"Sorme s.n.c. Via Monache 21 35030 Selvazzano Dentro PD"</f>
        <v>Sorme s.n.c. Via Monache 21 35030 Selvazzano Dentro PD</v>
      </c>
      <c r="P1733" t="str">
        <f>"ZB031888C6: [1308.85€ ]"</f>
        <v>ZB031888C6: [1308.85€ ]</v>
      </c>
      <c r="Q1733" t="str">
        <f>""</f>
        <v/>
      </c>
      <c r="R1733" t="str">
        <f>""</f>
        <v/>
      </c>
      <c r="S1733" t="str">
        <f>""</f>
        <v/>
      </c>
      <c r="T1733" t="str">
        <f>"https://portaletrasparenza.consorziobacchiglione.it/dettagli/attodigara/6835/tagliando-completo-del-mezzo-kubota-kx080-4-matr-71964.html"</f>
        <v>https://portaletrasparenza.consorziobacchiglione.it/dettagli/attodigara/6835/tagliando-completo-del-mezzo-kubota-kx080-4-matr-71964.html</v>
      </c>
      <c r="U1733" t="str">
        <f>"https://portaletrasparenza.consorziobacchiglione.it/download/attodigara/6835/63ac4585826f2.PDF"</f>
        <v>https://portaletrasparenza.consorziobacchiglione.it/download/attodigara/6835/63ac4585826f2.PDF</v>
      </c>
      <c r="V17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34" spans="1:22" x14ac:dyDescent="0.3">
      <c r="A1734" t="str">
        <f>"Affidamento"</f>
        <v>Affidamento</v>
      </c>
      <c r="B1734" t="str">
        <f>"Acquisto misuratori vari per installazione fissa presso gli impianti dislocati all'interno del comprensorio"</f>
        <v>Acquisto misuratori vari per installazione fissa presso gli impianti dislocati all'interno del comprensorio</v>
      </c>
      <c r="C1734" t="str">
        <f>"Z3531894B9"</f>
        <v>Z3531894B9</v>
      </c>
      <c r="D1734" t="str">
        <f>"29/04/2021"</f>
        <v>29/04/2021</v>
      </c>
      <c r="E1734" t="str">
        <f>""</f>
        <v/>
      </c>
      <c r="F1734" t="str">
        <f>""</f>
        <v/>
      </c>
      <c r="G1734" t="str">
        <f>"10397.75"</f>
        <v>10397.75</v>
      </c>
      <c r="H1734" t="str">
        <f>"Consorzio di bonifica Bacchiglione"</f>
        <v>Consorzio di bonifica Bacchiglione</v>
      </c>
      <c r="I1734" t="str">
        <f>"92223390284"</f>
        <v>92223390284</v>
      </c>
      <c r="J1734" t="str">
        <f>"23-AFFIDAMENTO DIRETTO"</f>
        <v>23-AFFIDAMENTO DIRETTO</v>
      </c>
      <c r="K1734" t="str">
        <f>"28/04/2021"</f>
        <v>28/04/2021</v>
      </c>
      <c r="L1734" t="str">
        <f>"15/06/2021"</f>
        <v>15/06/2021</v>
      </c>
      <c r="M1734" t="str">
        <f>""</f>
        <v/>
      </c>
      <c r="N1734" t="str">
        <f>"Endress + Hauser Italia S.p.A. Via Fratelli di Dio 7 20063 Cernusco S-N MI"</f>
        <v>Endress + Hauser Italia S.p.A. Via Fratelli di Dio 7 20063 Cernusco S-N MI</v>
      </c>
      <c r="O1734" t="str">
        <f>"Endress + Hauser Italia S.p.A. Via Fratelli di Dio 7 20063 Cernusco S-N MI"</f>
        <v>Endress + Hauser Italia S.p.A. Via Fratelli di Dio 7 20063 Cernusco S-N MI</v>
      </c>
      <c r="P1734" t="str">
        <f>"Z3531894B9: [10397.74€ ]"</f>
        <v>Z3531894B9: [10397.74€ ]</v>
      </c>
      <c r="Q1734" t="str">
        <f>""</f>
        <v/>
      </c>
      <c r="R1734" t="str">
        <f>""</f>
        <v/>
      </c>
      <c r="S1734" t="str">
        <f>""</f>
        <v/>
      </c>
      <c r="T1734" t="str">
        <f>"https://portaletrasparenza.consorziobacchiglione.it/dettagli/attodigara/6837/acquisto-misuratori-vari-per-installazione-fissa-presso-gli-impianti-dislocati-all-interno-del-comprensorio.html"</f>
        <v>https://portaletrasparenza.consorziobacchiglione.it/dettagli/attodigara/6837/acquisto-misuratori-vari-per-installazione-fissa-presso-gli-impianti-dislocati-all-interno-del-comprensorio.html</v>
      </c>
      <c r="U1734" t="str">
        <f>"https://portaletrasparenza.consorziobacchiglione.it/download/attodigara/6837/63ac45860012f.PDF"</f>
        <v>https://portaletrasparenza.consorziobacchiglione.it/download/attodigara/6837/63ac45860012f.PDF</v>
      </c>
      <c r="V1734">
        <f>(SUBSTITUTE(Tabella1[[#This Row],[Importo di aggiudicazione]],".",","))-(SUBSTITUTE(  SUBSTITUTE(          SUBSTITUTE(Tabella1[[#This Row],[Dettaglio somme liquidate]],Tabella1[[#This Row],[CIG]]&amp;": [",""),"€ ]",""),".",","))</f>
        <v>1.0000000000218279E-2</v>
      </c>
    </row>
    <row r="1735" spans="1:22" x14ac:dyDescent="0.3">
      <c r="A1735" t="str">
        <f>"Affidamento"</f>
        <v>Affidamento</v>
      </c>
      <c r="B1735" t="str">
        <f>"Affidamento incarico Coordinatore della Sicurezza in fase di Esecuzione - Adeguamento condotte di Cà Nordio - II° LOTTO - Processo ID 011-14."</f>
        <v>Affidamento incarico Coordinatore della Sicurezza in fase di Esecuzione - Adeguamento condotte di Cà Nordio - II° LOTTO - Processo ID 011-14.</v>
      </c>
      <c r="C1735" t="str">
        <f>"Z031A1287C"</f>
        <v>Z031A1287C</v>
      </c>
      <c r="D1735" t="str">
        <f>"04/11/2021"</f>
        <v>04/11/2021</v>
      </c>
      <c r="E1735" t="str">
        <f>""</f>
        <v/>
      </c>
      <c r="F1735" t="str">
        <f>""</f>
        <v/>
      </c>
      <c r="G1735" t="str">
        <f>"3640.00"</f>
        <v>3640.00</v>
      </c>
      <c r="H1735" t="str">
        <f>"Consorzio di bonifica Bacchiglione"</f>
        <v>Consorzio di bonifica Bacchiglione</v>
      </c>
      <c r="I1735" t="str">
        <f>"92223390284"</f>
        <v>92223390284</v>
      </c>
      <c r="J1735" t="str">
        <f>"23-AFFIDAMENTO DIRETTO"</f>
        <v>23-AFFIDAMENTO DIRETTO</v>
      </c>
      <c r="K1735" t="str">
        <f>"28/05/2021"</f>
        <v>28/05/2021</v>
      </c>
      <c r="L1735" t="str">
        <f>"31/12/2021"</f>
        <v>31/12/2021</v>
      </c>
      <c r="M1735" t="str">
        <f>""</f>
        <v/>
      </c>
      <c r="N1735" t="str">
        <f>"Ing. FABIO MURARO"</f>
        <v>Ing. FABIO MURARO</v>
      </c>
      <c r="O1735" t="str">
        <f>"Ing. FABIO MURARO"</f>
        <v>Ing. FABIO MURARO</v>
      </c>
      <c r="P1735" t="str">
        <f>"Z031A1287C: [1820.00€ ]"</f>
        <v>Z031A1287C: [1820.00€ ]</v>
      </c>
      <c r="Q1735" t="str">
        <f>""</f>
        <v/>
      </c>
      <c r="R1735" t="str">
        <f>""</f>
        <v/>
      </c>
      <c r="S1735" t="str">
        <f>""</f>
        <v/>
      </c>
      <c r="T1735" t="str">
        <f>"https://portaletrasparenza.consorziobacchiglione.it/dettagli/attodigara/477/affidamento-incarico-coordinatore-della-sicurezza-in-fase-di-esecuzione-adeguamento-condotte-di-ca-nordio-ii-lotto-processo-id-011-14.html"</f>
        <v>https://portaletrasparenza.consorziobacchiglione.it/dettagli/attodigara/477/affidamento-incarico-coordinatore-della-sicurezza-in-fase-di-esecuzione-adeguamento-condotte-di-ca-nordio-ii-lotto-processo-id-011-14.html</v>
      </c>
      <c r="U1735" t="str">
        <f>""</f>
        <v/>
      </c>
      <c r="V1735">
        <f>(SUBSTITUTE(Tabella1[[#This Row],[Importo di aggiudicazione]],".",","))-(SUBSTITUTE(  SUBSTITUTE(          SUBSTITUTE(Tabella1[[#This Row],[Dettaglio somme liquidate]],Tabella1[[#This Row],[CIG]]&amp;": [",""),"€ ]",""),".",","))</f>
        <v>1820</v>
      </c>
    </row>
    <row r="1736" spans="1:22" x14ac:dyDescent="0.3">
      <c r="A1736" t="str">
        <f>"Affidamento"</f>
        <v>Affidamento</v>
      </c>
      <c r="B1736" t="str">
        <f>"Fornitura materiale medico per cassette di primo soccorso"</f>
        <v>Fornitura materiale medico per cassette di primo soccorso</v>
      </c>
      <c r="C1736" t="str">
        <f>"Z0D31EBB5C"</f>
        <v>Z0D31EBB5C</v>
      </c>
      <c r="D1736" t="str">
        <f>"28/05/2021"</f>
        <v>28/05/2021</v>
      </c>
      <c r="E1736" t="str">
        <f>""</f>
        <v/>
      </c>
      <c r="F1736" t="str">
        <f>""</f>
        <v/>
      </c>
      <c r="G1736" t="str">
        <f>"550.89"</f>
        <v>550.89</v>
      </c>
      <c r="H1736" t="str">
        <f>"Consorzio di bonifica Bacchiglione"</f>
        <v>Consorzio di bonifica Bacchiglione</v>
      </c>
      <c r="I1736" t="str">
        <f>"92223390284"</f>
        <v>92223390284</v>
      </c>
      <c r="J1736" t="str">
        <f>"23-AFFIDAMENTO DIRETTO"</f>
        <v>23-AFFIDAMENTO DIRETTO</v>
      </c>
      <c r="K1736" t="str">
        <f>"28/05/2021"</f>
        <v>28/05/2021</v>
      </c>
      <c r="L1736" t="str">
        <f>"31/05/2021"</f>
        <v>31/05/2021</v>
      </c>
      <c r="M1736" t="str">
        <f>""</f>
        <v/>
      </c>
      <c r="N1736" t="str">
        <f>"Bergamaschi Antincendi Antinfortunistica Padova s.r.l. Via G. Galilei 2-I 35030 Caselle di Selvazzano PD"</f>
        <v>Bergamaschi Antincendi Antinfortunistica Padova s.r.l. Via G. Galilei 2-I 35030 Caselle di Selvazzano PD</v>
      </c>
      <c r="O1736" t="str">
        <f>"Bergamaschi Antincendi Antinfortunistica Padova s.r.l. Via G. Galilei 2-I 35030 Caselle di Selvazzano PD"</f>
        <v>Bergamaschi Antincendi Antinfortunistica Padova s.r.l. Via G. Galilei 2-I 35030 Caselle di Selvazzano PD</v>
      </c>
      <c r="P1736" t="s">
        <v>343</v>
      </c>
      <c r="Q1736" t="str">
        <f>""</f>
        <v/>
      </c>
      <c r="R1736" t="str">
        <f>""</f>
        <v/>
      </c>
      <c r="S1736" t="str">
        <f>""</f>
        <v/>
      </c>
      <c r="T1736" t="str">
        <f>"https://portaletrasparenza.consorziobacchiglione.it/dettagli/attodigara/6911/fornitura-materiale-medico-per-cassette-di-primo-soccorso.html"</f>
        <v>https://portaletrasparenza.consorziobacchiglione.it/dettagli/attodigara/6911/fornitura-materiale-medico-per-cassette-di-primo-soccorso.html</v>
      </c>
      <c r="U1736" t="str">
        <f>"https://portaletrasparenza.consorziobacchiglione.it/download/attodigara/6911/63ac4593167f1.PDF"</f>
        <v>https://portaletrasparenza.consorziobacchiglione.it/download/attodigara/6911/63ac4593167f1.PDF</v>
      </c>
      <c r="V17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37" spans="1:22" x14ac:dyDescent="0.3">
      <c r="A1737" t="str">
        <f>"Affidamento"</f>
        <v>Affidamento</v>
      </c>
      <c r="B1737" t="str">
        <f>"Riparazione e manutenzione mezzo con targa: AKV863"</f>
        <v>Riparazione e manutenzione mezzo con targa: AKV863</v>
      </c>
      <c r="C1737" t="str">
        <f>"Z2331E923A"</f>
        <v>Z2331E923A</v>
      </c>
      <c r="D1737" t="str">
        <f>"28/05/2021"</f>
        <v>28/05/2021</v>
      </c>
      <c r="E1737" t="str">
        <f>""</f>
        <v/>
      </c>
      <c r="F1737" t="str">
        <f>""</f>
        <v/>
      </c>
      <c r="G1737" t="str">
        <f>"1375.31"</f>
        <v>1375.31</v>
      </c>
      <c r="H1737" t="str">
        <f>"Consorzio di bonifica Bacchiglione"</f>
        <v>Consorzio di bonifica Bacchiglione</v>
      </c>
      <c r="I1737" t="str">
        <f>"92223390284"</f>
        <v>92223390284</v>
      </c>
      <c r="J1737" t="str">
        <f>"23-AFFIDAMENTO DIRETTO"</f>
        <v>23-AFFIDAMENTO DIRETTO</v>
      </c>
      <c r="K1737" t="str">
        <f>"28/05/2021"</f>
        <v>28/05/2021</v>
      </c>
      <c r="L1737" t="str">
        <f>"29/06/2021"</f>
        <v>29/06/2021</v>
      </c>
      <c r="M1737" t="str">
        <f>""</f>
        <v/>
      </c>
      <c r="N1737" t="str">
        <f>"Autoriparazioni Ravazzolo s.r.l. Via Roma 259a 35030 Montemerlo di Cervarese Santa Croce PD"</f>
        <v>Autoriparazioni Ravazzolo s.r.l. Via Roma 259a 35030 Montemerlo di Cervarese Santa Croce PD</v>
      </c>
      <c r="O1737" t="str">
        <f>"Autoriparazioni Ravazzolo s.r.l. Via Roma 259a 35030 Montemerlo di Cervarese Santa Croce PD"</f>
        <v>Autoriparazioni Ravazzolo s.r.l. Via Roma 259a 35030 Montemerlo di Cervarese Santa Croce PD</v>
      </c>
      <c r="P1737" t="str">
        <f>"Z2331E923A: [1375.31€ ]"</f>
        <v>Z2331E923A: [1375.31€ ]</v>
      </c>
      <c r="Q1737" t="str">
        <f>""</f>
        <v/>
      </c>
      <c r="R1737" t="str">
        <f>""</f>
        <v/>
      </c>
      <c r="S1737" t="str">
        <f>""</f>
        <v/>
      </c>
      <c r="T1737" t="str">
        <f>"https://portaletrasparenza.consorziobacchiglione.it/dettagli/attodigara/6910/riparazione-e-manutenzione-mezzo-con-targa-akv863.html"</f>
        <v>https://portaletrasparenza.consorziobacchiglione.it/dettagli/attodigara/6910/riparazione-e-manutenzione-mezzo-con-targa-akv863.html</v>
      </c>
      <c r="U1737" t="str">
        <f>"https://portaletrasparenza.consorziobacchiglione.it/download/attodigara/6910/63ac4592d2270.PDF"</f>
        <v>https://portaletrasparenza.consorziobacchiglione.it/download/attodigara/6910/63ac4592d2270.PDF</v>
      </c>
      <c r="V173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38" spans="1:22" x14ac:dyDescent="0.3">
      <c r="A1738" t="str">
        <f>"Affidamento"</f>
        <v>Affidamento</v>
      </c>
      <c r="B1738" t="str">
        <f>"Fornitura licenza Adobe Acrobat Pro per uff. Progettazione"</f>
        <v>Fornitura licenza Adobe Acrobat Pro per uff. Progettazione</v>
      </c>
      <c r="C1738" t="str">
        <f>"Z2F31E918A"</f>
        <v>Z2F31E918A</v>
      </c>
      <c r="D1738" t="str">
        <f>"28/05/2021"</f>
        <v>28/05/2021</v>
      </c>
      <c r="E1738" t="str">
        <f>""</f>
        <v/>
      </c>
      <c r="F1738" t="str">
        <f>""</f>
        <v/>
      </c>
      <c r="G1738" t="str">
        <f>"596.00"</f>
        <v>596.00</v>
      </c>
      <c r="H1738" t="str">
        <f>"Consorzio di bonifica Bacchiglione"</f>
        <v>Consorzio di bonifica Bacchiglione</v>
      </c>
      <c r="I1738" t="str">
        <f>"92223390284"</f>
        <v>92223390284</v>
      </c>
      <c r="J1738" t="str">
        <f>"23-AFFIDAMENTO DIRETTO"</f>
        <v>23-AFFIDAMENTO DIRETTO</v>
      </c>
      <c r="K1738" t="str">
        <f>"28/05/2021"</f>
        <v>28/05/2021</v>
      </c>
      <c r="L1738" t="str">
        <f>"02/08/2021"</f>
        <v>02/08/2021</v>
      </c>
      <c r="M1738" t="str">
        <f>""</f>
        <v/>
      </c>
      <c r="N1738" t="str">
        <f>"Hard Service S.r.l. Via del Progresso, 2 35010 Peraga di Vigonza (PD)"</f>
        <v>Hard Service S.r.l. Via del Progresso, 2 35010 Peraga di Vigonza (PD)</v>
      </c>
      <c r="O1738" t="str">
        <f>"Hard Service S.r.l. Via del Progresso, 2 35010 Peraga di Vigonza (PD)"</f>
        <v>Hard Service S.r.l. Via del Progresso, 2 35010 Peraga di Vigonza (PD)</v>
      </c>
      <c r="P1738" t="str">
        <f>"Z2F31E918A: [596.00€ ]"</f>
        <v>Z2F31E918A: [596.00€ ]</v>
      </c>
      <c r="Q1738" t="str">
        <f>""</f>
        <v/>
      </c>
      <c r="R1738" t="str">
        <f>""</f>
        <v/>
      </c>
      <c r="S1738" t="str">
        <f>""</f>
        <v/>
      </c>
      <c r="T1738" t="str">
        <f>"https://portaletrasparenza.consorziobacchiglione.it/dettagli/attodigara/6909/fornitura-licenza-adobe-acrobat-pro-per-uff-progettazione.html"</f>
        <v>https://portaletrasparenza.consorziobacchiglione.it/dettagli/attodigara/6909/fornitura-licenza-adobe-acrobat-pro-per-uff-progettazione.html</v>
      </c>
      <c r="U1738" t="str">
        <f>"https://portaletrasparenza.consorziobacchiglione.it/download/attodigara/6909/63ac459299a8d.PDF"</f>
        <v>https://portaletrasparenza.consorziobacchiglione.it/download/attodigara/6909/63ac459299a8d.PDF</v>
      </c>
      <c r="V173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39" spans="1:22" x14ac:dyDescent="0.3">
      <c r="A1739" t="str">
        <f>"Affidamento"</f>
        <v>Affidamento</v>
      </c>
      <c r="B1739" t="str">
        <f>"Corso di formazione in materia di contabilità degli enti locali"</f>
        <v>Corso di formazione in materia di contabilità degli enti locali</v>
      </c>
      <c r="C1739" t="str">
        <f>"ZF231DE39C"</f>
        <v>ZF231DE39C</v>
      </c>
      <c r="D1739" t="str">
        <f>"28/05/2021"</f>
        <v>28/05/2021</v>
      </c>
      <c r="E1739" t="str">
        <f>""</f>
        <v/>
      </c>
      <c r="F1739" t="str">
        <f>""</f>
        <v/>
      </c>
      <c r="G1739" t="str">
        <f>"490.00"</f>
        <v>490.00</v>
      </c>
      <c r="H1739" t="str">
        <f>"Consorzio di bonifica Bacchiglione"</f>
        <v>Consorzio di bonifica Bacchiglione</v>
      </c>
      <c r="I1739" t="str">
        <f>"92223390284"</f>
        <v>92223390284</v>
      </c>
      <c r="J1739" t="str">
        <f>"23-AFFIDAMENTO DIRETTO"</f>
        <v>23-AFFIDAMENTO DIRETTO</v>
      </c>
      <c r="K1739" t="str">
        <f>"28/05/2021"</f>
        <v>28/05/2021</v>
      </c>
      <c r="L1739" t="str">
        <f>"14/06/2021"</f>
        <v>14/06/2021</v>
      </c>
      <c r="M1739" t="str">
        <f>""</f>
        <v/>
      </c>
      <c r="N1739" t="str">
        <f>"CEIDA"</f>
        <v>CEIDA</v>
      </c>
      <c r="O1739" t="str">
        <f>"CEIDA"</f>
        <v>CEIDA</v>
      </c>
      <c r="P1739" t="str">
        <f>"ZF231DE39C: [252.00€ ]"</f>
        <v>ZF231DE39C: [252.00€ ]</v>
      </c>
      <c r="Q1739" t="str">
        <f>""</f>
        <v/>
      </c>
      <c r="R1739" t="str">
        <f>""</f>
        <v/>
      </c>
      <c r="S1739" t="str">
        <f>""</f>
        <v/>
      </c>
      <c r="T1739" t="str">
        <f>"https://portaletrasparenza.consorziobacchiglione.it/dettagli/attodigara/6908/corso-di-formazione-in-materia-di-contabilita-degli-enti-locali.html"</f>
        <v>https://portaletrasparenza.consorziobacchiglione.it/dettagli/attodigara/6908/corso-di-formazione-in-materia-di-contabilita-degli-enti-locali.html</v>
      </c>
      <c r="U1739" t="str">
        <f>"https://portaletrasparenza.consorziobacchiglione.it/download/attodigara/6908/63ac459261220.PDF"</f>
        <v>https://portaletrasparenza.consorziobacchiglione.it/download/attodigara/6908/63ac459261220.PDF</v>
      </c>
      <c r="V1739">
        <f>(SUBSTITUTE(Tabella1[[#This Row],[Importo di aggiudicazione]],".",","))-(SUBSTITUTE(  SUBSTITUTE(          SUBSTITUTE(Tabella1[[#This Row],[Dettaglio somme liquidate]],Tabella1[[#This Row],[CIG]]&amp;": [",""),"€ ]",""),".",","))</f>
        <v>238</v>
      </c>
    </row>
    <row r="1740" spans="1:22" x14ac:dyDescent="0.3">
      <c r="A1740" t="str">
        <f>"Affidamento"</f>
        <v>Affidamento</v>
      </c>
      <c r="B1740" t="str">
        <f>"Sistemazione canna fumaria Sede Consorziale."</f>
        <v>Sistemazione canna fumaria Sede Consorziale.</v>
      </c>
      <c r="C1740" t="str">
        <f>"ZEE1A72A73"</f>
        <v>ZEE1A72A73</v>
      </c>
      <c r="D1740" t="str">
        <f>"04/11/2021"</f>
        <v>04/11/2021</v>
      </c>
      <c r="E1740" t="str">
        <f>""</f>
        <v/>
      </c>
      <c r="F1740" t="str">
        <f>""</f>
        <v/>
      </c>
      <c r="G1740" t="str">
        <f>"3200.00"</f>
        <v>3200.00</v>
      </c>
      <c r="H1740" t="str">
        <f>"Consorzio di bonifica Bacchiglione"</f>
        <v>Consorzio di bonifica Bacchiglione</v>
      </c>
      <c r="I1740" t="str">
        <f>"92223390284"</f>
        <v>92223390284</v>
      </c>
      <c r="J1740" t="str">
        <f>"23-AFFIDAMENTO DIRETTO"</f>
        <v>23-AFFIDAMENTO DIRETTO</v>
      </c>
      <c r="K1740" t="str">
        <f>"28/06/2021"</f>
        <v>28/06/2021</v>
      </c>
      <c r="L1740" t="str">
        <f>"06/09/2021"</f>
        <v>06/09/2021</v>
      </c>
      <c r="M1740" t="str">
        <f>""</f>
        <v/>
      </c>
      <c r="N1740" t="str">
        <f>"F.lli Pastore S.R.L. Via Pozzoveggiani 34-3 Salboro PD"</f>
        <v>F.lli Pastore S.R.L. Via Pozzoveggiani 34-3 Salboro PD</v>
      </c>
      <c r="O1740" t="str">
        <f>"F.lli Pastore S.R.L. Via Pozzoveggiani 34-3 Salboro PD"</f>
        <v>F.lli Pastore S.R.L. Via Pozzoveggiani 34-3 Salboro PD</v>
      </c>
      <c r="P1740" t="str">
        <f>"ZEE1A72A73: [3200.00€ ]"</f>
        <v>ZEE1A72A73: [3200.00€ ]</v>
      </c>
      <c r="Q1740" t="str">
        <f>""</f>
        <v/>
      </c>
      <c r="R1740" t="str">
        <f>""</f>
        <v/>
      </c>
      <c r="S1740" t="str">
        <f>""</f>
        <v/>
      </c>
      <c r="T1740" t="str">
        <f>"https://portaletrasparenza.consorziobacchiglione.it/dettagli/attodigara/549/sistemazione-canna-fumaria-sede-consorziale.html"</f>
        <v>https://portaletrasparenza.consorziobacchiglione.it/dettagli/attodigara/549/sistemazione-canna-fumaria-sede-consorziale.html</v>
      </c>
      <c r="U1740" t="str">
        <f>""</f>
        <v/>
      </c>
      <c r="V17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41" spans="1:22" x14ac:dyDescent="0.3">
      <c r="A1741" t="str">
        <f>"Affidamento"</f>
        <v>Affidamento</v>
      </c>
      <c r="B1741" t="str">
        <f>"Fornitura materiale edile per bacino Delta Brenta."</f>
        <v>Fornitura materiale edile per bacino Delta Brenta.</v>
      </c>
      <c r="C1741" t="str">
        <f>"Z851A7299A"</f>
        <v>Z851A7299A</v>
      </c>
      <c r="D1741" t="str">
        <f>"04/11/2021"</f>
        <v>04/11/2021</v>
      </c>
      <c r="E1741" t="str">
        <f>""</f>
        <v/>
      </c>
      <c r="F1741" t="str">
        <f>""</f>
        <v/>
      </c>
      <c r="G1741" t="str">
        <f>"526.50"</f>
        <v>526.50</v>
      </c>
      <c r="H1741" t="str">
        <f>"Consorzio di bonifica Bacchiglione"</f>
        <v>Consorzio di bonifica Bacchiglione</v>
      </c>
      <c r="I1741" t="str">
        <f>"92223390284"</f>
        <v>92223390284</v>
      </c>
      <c r="J1741" t="str">
        <f>"23-AFFIDAMENTO DIRETTO"</f>
        <v>23-AFFIDAMENTO DIRETTO</v>
      </c>
      <c r="K1741" t="str">
        <f>"28/06/2021"</f>
        <v>28/06/2021</v>
      </c>
      <c r="L1741" t="str">
        <f>"26/08/2021"</f>
        <v>26/08/2021</v>
      </c>
      <c r="M1741" t="str">
        <f>""</f>
        <v/>
      </c>
      <c r="N1741" t="str">
        <f>"Gollo Giovanni Via Vallona 65 35020 Conche di Codevigo PD"</f>
        <v>Gollo Giovanni Via Vallona 65 35020 Conche di Codevigo PD</v>
      </c>
      <c r="O1741" t="str">
        <f>"Gollo Giovanni Via Vallona 65 35020 Conche di Codevigo PD"</f>
        <v>Gollo Giovanni Via Vallona 65 35020 Conche di Codevigo PD</v>
      </c>
      <c r="P1741" t="str">
        <f>"Z851A7299A: [526.50€ ]"</f>
        <v>Z851A7299A: [526.50€ ]</v>
      </c>
      <c r="Q1741" t="str">
        <f>""</f>
        <v/>
      </c>
      <c r="R1741" t="str">
        <f>""</f>
        <v/>
      </c>
      <c r="S1741" t="str">
        <f>""</f>
        <v/>
      </c>
      <c r="T1741" t="str">
        <f>"https://portaletrasparenza.consorziobacchiglione.it/dettagli/attodigara/548/fornitura-materiale-edile-per-bacino-delta-brenta.html"</f>
        <v>https://portaletrasparenza.consorziobacchiglione.it/dettagli/attodigara/548/fornitura-materiale-edile-per-bacino-delta-brenta.html</v>
      </c>
      <c r="U1741" t="str">
        <f>""</f>
        <v/>
      </c>
      <c r="V174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42" spans="1:22" x14ac:dyDescent="0.3">
      <c r="A1742" t="str">
        <f>"Affidamento"</f>
        <v>Affidamento</v>
      </c>
      <c r="B1742" t="str">
        <f>"Riparazione e manutenzione mezzi con targa: EW924ED, DA204YW."</f>
        <v>Riparazione e manutenzione mezzi con targa: EW924ED, DA204YW.</v>
      </c>
      <c r="C1742" t="str">
        <f>"Z931A72392"</f>
        <v>Z931A72392</v>
      </c>
      <c r="D1742" t="str">
        <f>"04/11/2021"</f>
        <v>04/11/2021</v>
      </c>
      <c r="E1742" t="str">
        <f>""</f>
        <v/>
      </c>
      <c r="F1742" t="str">
        <f>""</f>
        <v/>
      </c>
      <c r="G1742" t="str">
        <f>"629.70"</f>
        <v>629.70</v>
      </c>
      <c r="H1742" t="str">
        <f>"Consorzio di bonifica Bacchiglione"</f>
        <v>Consorzio di bonifica Bacchiglione</v>
      </c>
      <c r="I1742" t="str">
        <f>"92223390284"</f>
        <v>92223390284</v>
      </c>
      <c r="J1742" t="str">
        <f>"23-AFFIDAMENTO DIRETTO"</f>
        <v>23-AFFIDAMENTO DIRETTO</v>
      </c>
      <c r="K1742" t="str">
        <f>"28/06/2021"</f>
        <v>28/06/2021</v>
      </c>
      <c r="L1742" t="str">
        <f>"01/08/2021"</f>
        <v>01/08/2021</v>
      </c>
      <c r="M1742" t="str">
        <f>""</f>
        <v/>
      </c>
      <c r="N1742" t="str">
        <f>"Mardegan F.lli s.n.c. Via Argine Destro 13A 35020 Brenta di Correzzola PD"</f>
        <v>Mardegan F.lli s.n.c. Via Argine Destro 13A 35020 Brenta di Correzzola PD</v>
      </c>
      <c r="O1742" t="str">
        <f>"Mardegan F.lli s.n.c. Via Argine Destro 13A 35020 Brenta di Correzzola PD"</f>
        <v>Mardegan F.lli s.n.c. Via Argine Destro 13A 35020 Brenta di Correzzola PD</v>
      </c>
      <c r="P1742" t="str">
        <f>"Z931A72392: [629.70€ ]"</f>
        <v>Z931A72392: [629.70€ ]</v>
      </c>
      <c r="Q1742" t="str">
        <f>""</f>
        <v/>
      </c>
      <c r="R1742" t="str">
        <f>""</f>
        <v/>
      </c>
      <c r="S1742" t="str">
        <f>""</f>
        <v/>
      </c>
      <c r="T1742" t="str">
        <f>"https://portaletrasparenza.consorziobacchiglione.it/dettagli/attodigara/547/riparazione-e-manutenzione-mezzi-con-targa-ew924ed-da204yw.html"</f>
        <v>https://portaletrasparenza.consorziobacchiglione.it/dettagli/attodigara/547/riparazione-e-manutenzione-mezzi-con-targa-ew924ed-da204yw.html</v>
      </c>
      <c r="U1742" t="str">
        <f>""</f>
        <v/>
      </c>
      <c r="V17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43" spans="1:22" x14ac:dyDescent="0.3">
      <c r="A1743" t="str">
        <f>"Affidamento"</f>
        <v>Affidamento</v>
      </c>
      <c r="B1743" t="str">
        <f>"Trasporto escavatore cingolato R 904 da S.Margherita via delle Muneghe in via Altipiano."</f>
        <v>Trasporto escavatore cingolato R 904 da S.Margherita via delle Muneghe in via Altipiano.</v>
      </c>
      <c r="C1743" t="str">
        <f>"ZAE1A71F15"</f>
        <v>ZAE1A71F15</v>
      </c>
      <c r="D1743" t="str">
        <f>"04/11/2021"</f>
        <v>04/11/2021</v>
      </c>
      <c r="E1743" t="str">
        <f>""</f>
        <v/>
      </c>
      <c r="F1743" t="str">
        <f>""</f>
        <v/>
      </c>
      <c r="G1743" t="str">
        <f>"55.00"</f>
        <v>55.00</v>
      </c>
      <c r="H1743" t="str">
        <f>"Consorzio di bonifica Bacchiglione"</f>
        <v>Consorzio di bonifica Bacchiglione</v>
      </c>
      <c r="I1743" t="str">
        <f>"92223390284"</f>
        <v>92223390284</v>
      </c>
      <c r="J1743" t="str">
        <f>"23-AFFIDAMENTO DIRETTO"</f>
        <v>23-AFFIDAMENTO DIRETTO</v>
      </c>
      <c r="K1743" t="str">
        <f>"28/06/2021"</f>
        <v>28/06/2021</v>
      </c>
      <c r="L1743" t="str">
        <f>"15/11/2021"</f>
        <v>15/11/2021</v>
      </c>
      <c r="M1743" t="str">
        <f>""</f>
        <v/>
      </c>
      <c r="N1743" t="str">
        <f>"Trovò s.r.l. Via Idrovora, 3 - 35020 Codevigo (PD)"</f>
        <v>Trovò s.r.l. Via Idrovora, 3 - 35020 Codevigo (PD)</v>
      </c>
      <c r="O1743" t="str">
        <f>"Trovò s.r.l. Via Idrovora, 3 - 35020 Codevigo (PD)"</f>
        <v>Trovò s.r.l. Via Idrovora, 3 - 35020 Codevigo (PD)</v>
      </c>
      <c r="P1743" t="str">
        <f>"ZAE1A71F15: [55.00€ ]"</f>
        <v>ZAE1A71F15: [55.00€ ]</v>
      </c>
      <c r="Q1743" t="str">
        <f>""</f>
        <v/>
      </c>
      <c r="R1743" t="str">
        <f>""</f>
        <v/>
      </c>
      <c r="S1743" t="str">
        <f>""</f>
        <v/>
      </c>
      <c r="T1743" t="str">
        <f>"https://portaletrasparenza.consorziobacchiglione.it/dettagli/attodigara/545/trasporto-escavatore-cingolato-r-904-da-s-margherita-via-delle-muneghe-in-via-altipiano.html"</f>
        <v>https://portaletrasparenza.consorziobacchiglione.it/dettagli/attodigara/545/trasporto-escavatore-cingolato-r-904-da-s-margherita-via-delle-muneghe-in-via-altipiano.html</v>
      </c>
      <c r="U1743" t="str">
        <f>""</f>
        <v/>
      </c>
      <c r="V174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44" spans="1:22" x14ac:dyDescent="0.3">
      <c r="A1744" t="str">
        <f>"Affidamento"</f>
        <v>Affidamento</v>
      </c>
      <c r="B1744" t="str">
        <f>"Manutenzione , riparazione e lavaggio mezzi con targa: AFW043, CB934XY, PDAH662, motobarca n 5"</f>
        <v>Manutenzione , riparazione e lavaggio mezzi con targa: AFW043, CB934XY, PDAH662, motobarca n 5</v>
      </c>
      <c r="C1744" t="str">
        <f>"ZE81A71C16"</f>
        <v>ZE81A71C16</v>
      </c>
      <c r="D1744" t="str">
        <f>"04/11/2021"</f>
        <v>04/11/2021</v>
      </c>
      <c r="E1744" t="str">
        <f>""</f>
        <v/>
      </c>
      <c r="F1744" t="str">
        <f>""</f>
        <v/>
      </c>
      <c r="G1744" t="str">
        <f>"6107.58"</f>
        <v>6107.58</v>
      </c>
      <c r="H1744" t="str">
        <f>"Consorzio di bonifica Bacchiglione"</f>
        <v>Consorzio di bonifica Bacchiglione</v>
      </c>
      <c r="I1744" t="str">
        <f>"92223390284"</f>
        <v>92223390284</v>
      </c>
      <c r="J1744" t="str">
        <f>"23-AFFIDAMENTO DIRETTO"</f>
        <v>23-AFFIDAMENTO DIRETTO</v>
      </c>
      <c r="K1744" t="str">
        <f>"28/06/2021"</f>
        <v>28/06/2021</v>
      </c>
      <c r="L1744" t="str">
        <f>"25/07/2021"</f>
        <v>25/07/2021</v>
      </c>
      <c r="M1744" t="str">
        <f>""</f>
        <v/>
      </c>
      <c r="N1744" t="str">
        <f>"Officina Biesse S.n.c. Via Matteotti 24 35020 Arzergrande PD"</f>
        <v>Officina Biesse S.n.c. Via Matteotti 24 35020 Arzergrande PD</v>
      </c>
      <c r="O1744" t="str">
        <f>"Officina Biesse S.n.c. Via Matteotti 24 35020 Arzergrande PD"</f>
        <v>Officina Biesse S.n.c. Via Matteotti 24 35020 Arzergrande PD</v>
      </c>
      <c r="P1744" t="str">
        <f>"ZE81A71C16: [6107.58€ ]"</f>
        <v>ZE81A71C16: [6107.58€ ]</v>
      </c>
      <c r="Q1744" t="str">
        <f>""</f>
        <v/>
      </c>
      <c r="R1744" t="str">
        <f>""</f>
        <v/>
      </c>
      <c r="S1744" t="str">
        <f>""</f>
        <v/>
      </c>
      <c r="T1744" t="str">
        <f>"https://portaletrasparenza.consorziobacchiglione.it/dettagli/attodigara/544/manutenzione-riparazione-e-lavaggio-mezzi-con-targa-afw043-cb934xy-pdah662-motobarca-n-5.html"</f>
        <v>https://portaletrasparenza.consorziobacchiglione.it/dettagli/attodigara/544/manutenzione-riparazione-e-lavaggio-mezzi-con-targa-afw043-cb934xy-pdah662-motobarca-n-5.html</v>
      </c>
      <c r="U1744" t="str">
        <f>""</f>
        <v/>
      </c>
      <c r="V174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45" spans="1:22" x14ac:dyDescent="0.3">
      <c r="A1745" t="str">
        <f>"Affidamento"</f>
        <v>Affidamento</v>
      </c>
      <c r="B1745" t="str">
        <f>"Fornitura n 8 rotoli di carta GR. 90 H 0,914 x 50 mt. per plotter , n 1 cartuccia codice C9403A, n 1 cartuccia codice C9370A, n 1 cartuccia codice C9372A per sede Consorziale."</f>
        <v>Fornitura n 8 rotoli di carta GR. 90 H 0,914 x 50 mt. per plotter , n 1 cartuccia codice C9403A, n 1 cartuccia codice C9370A, n 1 cartuccia codice C9372A per sede Consorziale.</v>
      </c>
      <c r="C1745" t="str">
        <f>"Z7F1A71751"</f>
        <v>Z7F1A71751</v>
      </c>
      <c r="D1745" t="str">
        <f>"04/11/2021"</f>
        <v>04/11/2021</v>
      </c>
      <c r="E1745" t="str">
        <f>""</f>
        <v/>
      </c>
      <c r="F1745" t="str">
        <f>""</f>
        <v/>
      </c>
      <c r="G1745" t="str">
        <f>"270.42"</f>
        <v>270.42</v>
      </c>
      <c r="H1745" t="str">
        <f>"Consorzio di bonifica Bacchiglione"</f>
        <v>Consorzio di bonifica Bacchiglione</v>
      </c>
      <c r="I1745" t="str">
        <f>"92223390284"</f>
        <v>92223390284</v>
      </c>
      <c r="J1745" t="str">
        <f>"23-AFFIDAMENTO DIRETTO"</f>
        <v>23-AFFIDAMENTO DIRETTO</v>
      </c>
      <c r="K1745" t="str">
        <f>"28/06/2021"</f>
        <v>28/06/2021</v>
      </c>
      <c r="L1745" t="str">
        <f>"01/08/2021"</f>
        <v>01/08/2021</v>
      </c>
      <c r="M1745" t="str">
        <f>""</f>
        <v/>
      </c>
      <c r="N1745" t="str">
        <f>"BM OFFICE E SERVICE SRLS Via dalla Zuanna 13 36012 Asiago VI"</f>
        <v>BM OFFICE E SERVICE SRLS Via dalla Zuanna 13 36012 Asiago VI</v>
      </c>
      <c r="O1745" t="str">
        <f>"BM OFFICE E SERVICE SRLS Via dalla Zuanna 13 36012 Asiago VI"</f>
        <v>BM OFFICE E SERVICE SRLS Via dalla Zuanna 13 36012 Asiago VI</v>
      </c>
      <c r="P1745" t="str">
        <f>"Z7F1A71751: [270.42€ ]"</f>
        <v>Z7F1A71751: [270.42€ ]</v>
      </c>
      <c r="Q1745" t="str">
        <f>""</f>
        <v/>
      </c>
      <c r="R1745" t="str">
        <f>""</f>
        <v/>
      </c>
      <c r="S1745" t="str">
        <f>""</f>
        <v/>
      </c>
      <c r="T1745" t="str">
        <f>"https://portaletrasparenza.consorziobacchiglione.it/dettagli/attodigara/543/fornitura-n-8-rotoli-di-carta-gr-90-h-0-914-x-50-mt-per-plotter-n-1-cartuccia-codice-c9403a-n-1-cartuccia-codice-c9370a-n-1-cartuccia-codice-c9372a-per-sede-consorziale.html"</f>
        <v>https://portaletrasparenza.consorziobacchiglione.it/dettagli/attodigara/543/fornitura-n-8-rotoli-di-carta-gr-90-h-0-914-x-50-mt-per-plotter-n-1-cartuccia-codice-c9403a-n-1-cartuccia-codice-c9370a-n-1-cartuccia-codice-c9372a-per-sede-consorziale.html</v>
      </c>
      <c r="U1745" t="str">
        <f>""</f>
        <v/>
      </c>
      <c r="V174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46" spans="1:22" x14ac:dyDescent="0.3">
      <c r="A1746" t="str">
        <f>"Affidamento"</f>
        <v>Affidamento</v>
      </c>
      <c r="B1746" t="str">
        <f>"Procedura di mediazione davanti alla Camera Arbitrale di Venezia promossa dal sig. Masenadore Gianpietro - conferimento incarico di rappresentanza e difesa legale del Consozrio all Avv. Antonio Olivo del Foro di Venezia"</f>
        <v>Procedura di mediazione davanti alla Camera Arbitrale di Venezia promossa dal sig. Masenadore Gianpietro - conferimento incarico di rappresentanza e difesa legale del Consozrio all Avv. Antonio Olivo del Foro di Venezia</v>
      </c>
      <c r="C1746" t="str">
        <f>"Z451C41B67"</f>
        <v>Z451C41B67</v>
      </c>
      <c r="D1746" t="str">
        <f>"04/11/2021"</f>
        <v>04/11/2021</v>
      </c>
      <c r="E1746" t="str">
        <f>""</f>
        <v/>
      </c>
      <c r="F1746" t="str">
        <f>""</f>
        <v/>
      </c>
      <c r="G1746" t="str">
        <f>"1150.00"</f>
        <v>1150.00</v>
      </c>
      <c r="H1746" t="str">
        <f>"Consorzio di bonifica Bacchiglione"</f>
        <v>Consorzio di bonifica Bacchiglione</v>
      </c>
      <c r="I1746" t="str">
        <f>"92223390284"</f>
        <v>92223390284</v>
      </c>
      <c r="J1746" t="str">
        <f>"23-AFFIDAMENTO DIRETTO"</f>
        <v>23-AFFIDAMENTO DIRETTO</v>
      </c>
      <c r="K1746" t="str">
        <f>"28/06/2021"</f>
        <v>28/06/2021</v>
      </c>
      <c r="L1746" t="str">
        <f>"02/08/2021"</f>
        <v>02/08/2021</v>
      </c>
      <c r="M1746" t="str">
        <f>""</f>
        <v/>
      </c>
      <c r="N1746" t="str">
        <f>"OLIVO ANTONIO"</f>
        <v>OLIVO ANTONIO</v>
      </c>
      <c r="O1746" t="str">
        <f>"OLIVO ANTONIO"</f>
        <v>OLIVO ANTONIO</v>
      </c>
      <c r="P1746" t="str">
        <f>"Z451C41B67: [1150.00€ ]"</f>
        <v>Z451C41B67: [1150.00€ ]</v>
      </c>
      <c r="Q1746" t="str">
        <f>""</f>
        <v/>
      </c>
      <c r="R1746" t="str">
        <f>""</f>
        <v/>
      </c>
      <c r="S1746" t="str">
        <f>""</f>
        <v/>
      </c>
      <c r="T1746" t="s">
        <v>66</v>
      </c>
      <c r="U1746" t="str">
        <f>""</f>
        <v/>
      </c>
      <c r="V17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47" spans="1:22" x14ac:dyDescent="0.3">
      <c r="A1747" t="str">
        <f>"Affidamento"</f>
        <v>Affidamento</v>
      </c>
      <c r="B1747" t="str">
        <f>"Fornitura materiale edile per scolo Altipiano, sostegno Piccolo, sostegno Montalbano, Idrovora Fogolana."</f>
        <v>Fornitura materiale edile per scolo Altipiano, sostegno Piccolo, sostegno Montalbano, Idrovora Fogolana.</v>
      </c>
      <c r="C1747" t="str">
        <f>"Z131A72268"</f>
        <v>Z131A72268</v>
      </c>
      <c r="D1747" t="str">
        <f>"04/11/2021"</f>
        <v>04/11/2021</v>
      </c>
      <c r="E1747" t="str">
        <f>""</f>
        <v/>
      </c>
      <c r="F1747" t="str">
        <f>""</f>
        <v/>
      </c>
      <c r="G1747" t="str">
        <f>"591.44"</f>
        <v>591.44</v>
      </c>
      <c r="H1747" t="str">
        <f>"Consorzio di bonifica Bacchiglione"</f>
        <v>Consorzio di bonifica Bacchiglione</v>
      </c>
      <c r="I1747" t="str">
        <f>"92223390284"</f>
        <v>92223390284</v>
      </c>
      <c r="J1747" t="str">
        <f>"23-AFFIDAMENTO DIRETTO"</f>
        <v>23-AFFIDAMENTO DIRETTO</v>
      </c>
      <c r="K1747" t="str">
        <f>"28/06/2021"</f>
        <v>28/06/2021</v>
      </c>
      <c r="L1747" t="str">
        <f>"10/08/2021"</f>
        <v>10/08/2021</v>
      </c>
      <c r="M1747" t="str">
        <f>""</f>
        <v/>
      </c>
      <c r="N1747" t="str">
        <f>"Idronord s.r.l. Via delle Industrie 3C 30036 Santa Maria Di Sala VE"</f>
        <v>Idronord s.r.l. Via delle Industrie 3C 30036 Santa Maria Di Sala VE</v>
      </c>
      <c r="O1747" t="str">
        <f>"Idronord s.r.l. Via delle Industrie 3C 30036 Santa Maria Di Sala VE"</f>
        <v>Idronord s.r.l. Via delle Industrie 3C 30036 Santa Maria Di Sala VE</v>
      </c>
      <c r="P1747" t="str">
        <f>"Z131A72268: [591.43€ ]"</f>
        <v>Z131A72268: [591.43€ ]</v>
      </c>
      <c r="Q1747" t="str">
        <f>""</f>
        <v/>
      </c>
      <c r="R1747" t="str">
        <f>""</f>
        <v/>
      </c>
      <c r="S1747" t="str">
        <f>""</f>
        <v/>
      </c>
      <c r="T1747" t="str">
        <f>"https://portaletrasparenza.consorziobacchiglione.it/dettagli/attodigara/546/fornitura-materiale-edile-per-scolo-altipiano-sostegno-piccolo-sostegno-montalbano-idrovora-fogolana.html"</f>
        <v>https://portaletrasparenza.consorziobacchiglione.it/dettagli/attodigara/546/fornitura-materiale-edile-per-scolo-altipiano-sostegno-piccolo-sostegno-montalbano-idrovora-fogolana.html</v>
      </c>
      <c r="U1747" t="str">
        <f>""</f>
        <v/>
      </c>
      <c r="V1747">
        <f>(SUBSTITUTE(Tabella1[[#This Row],[Importo di aggiudicazione]],".",","))-(SUBSTITUTE(  SUBSTITUTE(          SUBSTITUTE(Tabella1[[#This Row],[Dettaglio somme liquidate]],Tabella1[[#This Row],[CIG]]&amp;": [",""),"€ ]",""),".",","))</f>
        <v>1.0000000000104592E-2</v>
      </c>
    </row>
    <row r="1748" spans="1:22" x14ac:dyDescent="0.3">
      <c r="A1748" t="str">
        <f>"Affidamento"</f>
        <v>Affidamento</v>
      </c>
      <c r="B1748" t="str">
        <f>"Fornitura ricambi vari per motobarca Dragoni n.6"</f>
        <v>Fornitura ricambi vari per motobarca Dragoni n.6</v>
      </c>
      <c r="C1748" t="str">
        <f>"Z36324494E"</f>
        <v>Z36324494E</v>
      </c>
      <c r="D1748" t="str">
        <f>"06/07/2021"</f>
        <v>06/07/2021</v>
      </c>
      <c r="E1748" t="str">
        <f>""</f>
        <v/>
      </c>
      <c r="F1748" t="str">
        <f>""</f>
        <v/>
      </c>
      <c r="G1748" t="str">
        <f>"28.00"</f>
        <v>28.00</v>
      </c>
      <c r="H1748" t="str">
        <f>"Consorzio di bonifica Bacchiglione"</f>
        <v>Consorzio di bonifica Bacchiglione</v>
      </c>
      <c r="I1748" t="str">
        <f>"92223390284"</f>
        <v>92223390284</v>
      </c>
      <c r="J1748" t="str">
        <f>"23-AFFIDAMENTO DIRETTO"</f>
        <v>23-AFFIDAMENTO DIRETTO</v>
      </c>
      <c r="K1748" t="str">
        <f>"28/06/2021"</f>
        <v>28/06/2021</v>
      </c>
      <c r="L1748" t="str">
        <f>"19/07/2021"</f>
        <v>19/07/2021</v>
      </c>
      <c r="M1748" t="str">
        <f>""</f>
        <v/>
      </c>
      <c r="N1748" t="str">
        <f>"Autoricambi s.n.c. di Mardegan Paolo e Manfron Veronica Via A.Valerio 26-28 Piove di Sacco PD"</f>
        <v>Autoricambi s.n.c. di Mardegan Paolo e Manfron Veronica Via A.Valerio 26-28 Piove di Sacco PD</v>
      </c>
      <c r="O1748" t="str">
        <f>"Autoricambi s.n.c. di Mardegan Paolo e Manfron Veronica Via A.Valerio 26-28 Piove di Sacco PD"</f>
        <v>Autoricambi s.n.c. di Mardegan Paolo e Manfron Veronica Via A.Valerio 26-28 Piove di Sacco PD</v>
      </c>
      <c r="P1748" t="str">
        <f>"Z36324494E: [28.00€ ]"</f>
        <v>Z36324494E: [28.00€ ]</v>
      </c>
      <c r="Q1748" t="str">
        <f>""</f>
        <v/>
      </c>
      <c r="R1748" t="str">
        <f>""</f>
        <v/>
      </c>
      <c r="S1748" t="str">
        <f>""</f>
        <v/>
      </c>
      <c r="T1748" t="str">
        <f>"https://portaletrasparenza.consorziobacchiglione.it/dettagli/attodigara/6981/fornitura-ricambi-vari-per-motobarca-dragoni-n-6.html"</f>
        <v>https://portaletrasparenza.consorziobacchiglione.it/dettagli/attodigara/6981/fornitura-ricambi-vari-per-motobarca-dragoni-n-6.html</v>
      </c>
      <c r="U1748" t="str">
        <f>"https://portaletrasparenza.consorziobacchiglione.it/download/attodigara/6981/63ac45a378feb.PDF"</f>
        <v>https://portaletrasparenza.consorziobacchiglione.it/download/attodigara/6981/63ac45a378feb.PDF</v>
      </c>
      <c r="V174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49" spans="1:22" x14ac:dyDescent="0.3">
      <c r="A1749" t="str">
        <f>"Affidamento"</f>
        <v>Affidamento</v>
      </c>
      <c r="B1749" t="str">
        <f>"Fornitura n.3 Smartphone (Mod. Samsung A02) per personale Consortile"</f>
        <v>Fornitura n.3 Smartphone (Mod. Samsung A02) per personale Consortile</v>
      </c>
      <c r="C1749" t="str">
        <f>"Z8E324439C"</f>
        <v>Z8E324439C</v>
      </c>
      <c r="D1749" t="str">
        <f>"06/07/2021"</f>
        <v>06/07/2021</v>
      </c>
      <c r="E1749" t="str">
        <f>""</f>
        <v/>
      </c>
      <c r="F1749" t="str">
        <f>""</f>
        <v/>
      </c>
      <c r="G1749" t="str">
        <f>"359.97"</f>
        <v>359.97</v>
      </c>
      <c r="H1749" t="str">
        <f>"Consorzio di bonifica Bacchiglione"</f>
        <v>Consorzio di bonifica Bacchiglione</v>
      </c>
      <c r="I1749" t="str">
        <f>"92223390284"</f>
        <v>92223390284</v>
      </c>
      <c r="J1749" t="str">
        <f>"23-AFFIDAMENTO DIRETTO"</f>
        <v>23-AFFIDAMENTO DIRETTO</v>
      </c>
      <c r="K1749" t="str">
        <f>"28/06/2021"</f>
        <v>28/06/2021</v>
      </c>
      <c r="L1749" t="str">
        <f>"31/12/2021"</f>
        <v>31/12/2021</v>
      </c>
      <c r="M1749" t="str">
        <f>""</f>
        <v/>
      </c>
      <c r="N1749" t="str">
        <f>"Euroservice s.r.l. Via della Navigazione Interna 51-1 35129 Padova"</f>
        <v>Euroservice s.r.l. Via della Navigazione Interna 51-1 35129 Padova</v>
      </c>
      <c r="O1749" t="str">
        <f>"Euroservice s.r.l. Via della Navigazione Interna 51-1 35129 Padova"</f>
        <v>Euroservice s.r.l. Via della Navigazione Interna 51-1 35129 Padova</v>
      </c>
      <c r="P1749" t="str">
        <f>"Z8E324439C: [359.97€ ]"</f>
        <v>Z8E324439C: [359.97€ ]</v>
      </c>
      <c r="Q1749" t="str">
        <f>""</f>
        <v/>
      </c>
      <c r="R1749" t="str">
        <f>""</f>
        <v/>
      </c>
      <c r="S1749" t="str">
        <f>""</f>
        <v/>
      </c>
      <c r="T1749" t="str">
        <f>"https://portaletrasparenza.consorziobacchiglione.it/dettagli/attodigara/6980/fornitura-n-3-smartphone-mod-samsung-a02-per-personale-consortile.html"</f>
        <v>https://portaletrasparenza.consorziobacchiglione.it/dettagli/attodigara/6980/fornitura-n-3-smartphone-mod-samsung-a02-per-personale-consortile.html</v>
      </c>
      <c r="U1749" t="str">
        <f>"https://portaletrasparenza.consorziobacchiglione.it/download/attodigara/6980/63ac45a3407b4.PDF"</f>
        <v>https://portaletrasparenza.consorziobacchiglione.it/download/attodigara/6980/63ac45a3407b4.PDF</v>
      </c>
      <c r="V17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50" spans="1:22" x14ac:dyDescent="0.3">
      <c r="A1750" t="str">
        <f>"Affidamento"</f>
        <v>Affidamento</v>
      </c>
      <c r="B1750" t="str">
        <f>"Manutenzione , riparazione e lavaggio mezzi con targa: PDAF480, PDAF497, CB934XY, AGK711 , PDAH662, motobarca n 1, n 2, n 4, n 5, n 6,"</f>
        <v>Manutenzione , riparazione e lavaggio mezzi con targa: PDAF480, PDAF497, CB934XY, AGK711 , PDAH662, motobarca n 1, n 2, n 4, n 5, n 6,</v>
      </c>
      <c r="C1750" t="str">
        <f>"Z111ACBD46"</f>
        <v>Z111ACBD46</v>
      </c>
      <c r="D1750" t="str">
        <f>"04/11/2021"</f>
        <v>04/11/2021</v>
      </c>
      <c r="E1750" t="str">
        <f>""</f>
        <v/>
      </c>
      <c r="F1750" t="str">
        <f>""</f>
        <v/>
      </c>
      <c r="G1750" t="str">
        <f>"5349.46"</f>
        <v>5349.46</v>
      </c>
      <c r="H1750" t="str">
        <f>"Consorzio di bonifica Bacchiglione"</f>
        <v>Consorzio di bonifica Bacchiglione</v>
      </c>
      <c r="I1750" t="str">
        <f>"92223390284"</f>
        <v>92223390284</v>
      </c>
      <c r="J1750" t="str">
        <f>"23-AFFIDAMENTO DIRETTO"</f>
        <v>23-AFFIDAMENTO DIRETTO</v>
      </c>
      <c r="K1750" t="str">
        <f>"28/07/2021"</f>
        <v>28/07/2021</v>
      </c>
      <c r="L1750" t="str">
        <f>"27/10/2021"</f>
        <v>27/10/2021</v>
      </c>
      <c r="M1750" t="str">
        <f>""</f>
        <v/>
      </c>
      <c r="N1750" t="str">
        <f>"Officina Biesse S.n.c. Via Matteotti 24 35020 Arzergrande PD"</f>
        <v>Officina Biesse S.n.c. Via Matteotti 24 35020 Arzergrande PD</v>
      </c>
      <c r="O1750" t="str">
        <f>"Officina Biesse S.n.c. Via Matteotti 24 35020 Arzergrande PD"</f>
        <v>Officina Biesse S.n.c. Via Matteotti 24 35020 Arzergrande PD</v>
      </c>
      <c r="P1750" t="str">
        <f>"Z111ACBD46: [5349.46€ ]"</f>
        <v>Z111ACBD46: [5349.46€ ]</v>
      </c>
      <c r="Q1750" t="str">
        <f>""</f>
        <v/>
      </c>
      <c r="R1750" t="str">
        <f>""</f>
        <v/>
      </c>
      <c r="S1750" t="str">
        <f>""</f>
        <v/>
      </c>
      <c r="T1750" t="str">
        <f>"https://portaletrasparenza.consorziobacchiglione.it/dettagli/attodigara/628/manutenzione-riparazione-e-lavaggio-mezzi-con-targa-pdaf480-pdaf497-cb934xy-agk711-pdah662-motobarca-n-1-n-2-n-4-n-5-n-6.html"</f>
        <v>https://portaletrasparenza.consorziobacchiglione.it/dettagli/attodigara/628/manutenzione-riparazione-e-lavaggio-mezzi-con-targa-pdaf480-pdaf497-cb934xy-agk711-pdah662-motobarca-n-1-n-2-n-4-n-5-n-6.html</v>
      </c>
      <c r="U1750" t="str">
        <f>""</f>
        <v/>
      </c>
      <c r="V175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51" spans="1:22" x14ac:dyDescent="0.3">
      <c r="A1751" t="str">
        <f>"Affidamento"</f>
        <v>Affidamento</v>
      </c>
      <c r="B1751" t="str">
        <f>"Manutenzione , riparazione e lavaggio mezzi con targa: DN881SC, PDAH662, motobarca n 2, n 4, n 5, n 6, n 8."</f>
        <v>Manutenzione , riparazione e lavaggio mezzi con targa: DN881SC, PDAH662, motobarca n 2, n 4, n 5, n 6, n 8.</v>
      </c>
      <c r="C1751" t="str">
        <f>"ZBF1ACBB26"</f>
        <v>ZBF1ACBB26</v>
      </c>
      <c r="D1751" t="str">
        <f>"04/11/2021"</f>
        <v>04/11/2021</v>
      </c>
      <c r="E1751" t="str">
        <f>""</f>
        <v/>
      </c>
      <c r="F1751" t="str">
        <f>""</f>
        <v/>
      </c>
      <c r="G1751" t="str">
        <f>"1463.59"</f>
        <v>1463.59</v>
      </c>
      <c r="H1751" t="str">
        <f>"Consorzio di bonifica Bacchiglione"</f>
        <v>Consorzio di bonifica Bacchiglione</v>
      </c>
      <c r="I1751" t="str">
        <f>"92223390284"</f>
        <v>92223390284</v>
      </c>
      <c r="J1751" t="str">
        <f>"23-AFFIDAMENTO DIRETTO"</f>
        <v>23-AFFIDAMENTO DIRETTO</v>
      </c>
      <c r="K1751" t="str">
        <f>"28/07/2021"</f>
        <v>28/07/2021</v>
      </c>
      <c r="L1751" t="str">
        <f>"27/10/2021"</f>
        <v>27/10/2021</v>
      </c>
      <c r="M1751" t="str">
        <f>""</f>
        <v/>
      </c>
      <c r="N1751" t="str">
        <f>"Officina Biesse S.n.c. Via Matteotti 24 35020 Arzergrande PD"</f>
        <v>Officina Biesse S.n.c. Via Matteotti 24 35020 Arzergrande PD</v>
      </c>
      <c r="O1751" t="str">
        <f>"Officina Biesse S.n.c. Via Matteotti 24 35020 Arzergrande PD"</f>
        <v>Officina Biesse S.n.c. Via Matteotti 24 35020 Arzergrande PD</v>
      </c>
      <c r="P1751" t="str">
        <f>"ZBF1ACBB26: [1463.59€ ]"</f>
        <v>ZBF1ACBB26: [1463.59€ ]</v>
      </c>
      <c r="Q1751" t="str">
        <f>""</f>
        <v/>
      </c>
      <c r="R1751" t="str">
        <f>""</f>
        <v/>
      </c>
      <c r="S1751" t="str">
        <f>""</f>
        <v/>
      </c>
      <c r="T1751" t="str">
        <f>"https://portaletrasparenza.consorziobacchiglione.it/dettagli/attodigara/627/manutenzione-riparazione-e-lavaggio-mezzi-con-targa-dn881sc-pdah662-motobarca-n-2-n-4-n-5-n-6-n-8.html"</f>
        <v>https://portaletrasparenza.consorziobacchiglione.it/dettagli/attodigara/627/manutenzione-riparazione-e-lavaggio-mezzi-con-targa-dn881sc-pdah662-motobarca-n-2-n-4-n-5-n-6-n-8.html</v>
      </c>
      <c r="U1751" t="str">
        <f>""</f>
        <v/>
      </c>
      <c r="V175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52" spans="1:22" x14ac:dyDescent="0.3">
      <c r="A1752" t="str">
        <f>"Affidamento"</f>
        <v>Affidamento</v>
      </c>
      <c r="B1752" t="str">
        <f>"Manutenzione e riparazione mezzi con targa: AJ205BM, AJR631, CT189YR, motobarca n 7."</f>
        <v>Manutenzione e riparazione mezzi con targa: AJ205BM, AJR631, CT189YR, motobarca n 7.</v>
      </c>
      <c r="C1752" t="str">
        <f>"ZF41ACB7C9"</f>
        <v>ZF41ACB7C9</v>
      </c>
      <c r="D1752" t="str">
        <f>"04/11/2021"</f>
        <v>04/11/2021</v>
      </c>
      <c r="E1752" t="str">
        <f>""</f>
        <v/>
      </c>
      <c r="F1752" t="str">
        <f>""</f>
        <v/>
      </c>
      <c r="G1752" t="str">
        <f>"5101.68"</f>
        <v>5101.68</v>
      </c>
      <c r="H1752" t="str">
        <f>"Consorzio di bonifica Bacchiglione"</f>
        <v>Consorzio di bonifica Bacchiglione</v>
      </c>
      <c r="I1752" t="str">
        <f>"92223390284"</f>
        <v>92223390284</v>
      </c>
      <c r="J1752" t="str">
        <f>"23-AFFIDAMENTO DIRETTO"</f>
        <v>23-AFFIDAMENTO DIRETTO</v>
      </c>
      <c r="K1752" t="str">
        <f>"28/07/2021"</f>
        <v>28/07/2021</v>
      </c>
      <c r="L1752" t="str">
        <f>"29/09/2021"</f>
        <v>29/09/2021</v>
      </c>
      <c r="M1752" t="str">
        <f>""</f>
        <v/>
      </c>
      <c r="N1752" t="str">
        <f>"Negrisolo Officina Meccanica s.a.s. V.le delle Industrie II° strada 13 35025 Cagnola di Cartura PD"</f>
        <v>Negrisolo Officina Meccanica s.a.s. V.le delle Industrie II° strada 13 35025 Cagnola di Cartura PD</v>
      </c>
      <c r="O1752" t="str">
        <f>"Negrisolo Officina Meccanica s.a.s. V.le delle Industrie II° strada 13 35025 Cagnola di Cartura PD"</f>
        <v>Negrisolo Officina Meccanica s.a.s. V.le delle Industrie II° strada 13 35025 Cagnola di Cartura PD</v>
      </c>
      <c r="P1752" t="str">
        <f>"ZF41ACB7C9: [5101.68€ ]"</f>
        <v>ZF41ACB7C9: [5101.68€ ]</v>
      </c>
      <c r="Q1752" t="str">
        <f>""</f>
        <v/>
      </c>
      <c r="R1752" t="str">
        <f>""</f>
        <v/>
      </c>
      <c r="S1752" t="str">
        <f>""</f>
        <v/>
      </c>
      <c r="T1752" t="str">
        <f>"https://portaletrasparenza.consorziobacchiglione.it/dettagli/attodigara/626/manutenzione-e-riparazione-mezzi-con-targa-aj205bm-ajr631-ct189yr-motobarca-n-7.html"</f>
        <v>https://portaletrasparenza.consorziobacchiglione.it/dettagli/attodigara/626/manutenzione-e-riparazione-mezzi-con-targa-aj205bm-ajr631-ct189yr-motobarca-n-7.html</v>
      </c>
      <c r="U1752" t="str">
        <f>""</f>
        <v/>
      </c>
      <c r="V17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53" spans="1:22" x14ac:dyDescent="0.3">
      <c r="A1753" t="str">
        <f>"Affidamento"</f>
        <v>Affidamento</v>
      </c>
      <c r="B1753" t="str">
        <f>"Riparazione e manutenzione mezzi con targa: DA203YW, DS718AA, DN881SC."</f>
        <v>Riparazione e manutenzione mezzi con targa: DA203YW, DS718AA, DN881SC.</v>
      </c>
      <c r="C1753" t="str">
        <f>"Z931ACB627"</f>
        <v>Z931ACB627</v>
      </c>
      <c r="D1753" t="str">
        <f>"04/11/2021"</f>
        <v>04/11/2021</v>
      </c>
      <c r="E1753" t="str">
        <f>""</f>
        <v/>
      </c>
      <c r="F1753" t="str">
        <f>""</f>
        <v/>
      </c>
      <c r="G1753" t="str">
        <f>"1640.51"</f>
        <v>1640.51</v>
      </c>
      <c r="H1753" t="str">
        <f>"Consorzio di bonifica Bacchiglione"</f>
        <v>Consorzio di bonifica Bacchiglione</v>
      </c>
      <c r="I1753" t="str">
        <f>"92223390284"</f>
        <v>92223390284</v>
      </c>
      <c r="J1753" t="str">
        <f>"23-AFFIDAMENTO DIRETTO"</f>
        <v>23-AFFIDAMENTO DIRETTO</v>
      </c>
      <c r="K1753" t="str">
        <f>"28/07/2021"</f>
        <v>28/07/2021</v>
      </c>
      <c r="L1753" t="str">
        <f>"06/09/2021"</f>
        <v>06/09/2021</v>
      </c>
      <c r="M1753" t="str">
        <f>""</f>
        <v/>
      </c>
      <c r="N1753" t="str">
        <f>"Mardegan F.lli s.n.c. Via Argine Destro 13A 35020 Brenta di Correzzola PD"</f>
        <v>Mardegan F.lli s.n.c. Via Argine Destro 13A 35020 Brenta di Correzzola PD</v>
      </c>
      <c r="O1753" t="str">
        <f>"Mardegan F.lli s.n.c. Via Argine Destro 13A 35020 Brenta di Correzzola PD"</f>
        <v>Mardegan F.lli s.n.c. Via Argine Destro 13A 35020 Brenta di Correzzola PD</v>
      </c>
      <c r="P1753" t="str">
        <f>"Z931ACB627: [1640.51€ ]"</f>
        <v>Z931ACB627: [1640.51€ ]</v>
      </c>
      <c r="Q1753" t="str">
        <f>""</f>
        <v/>
      </c>
      <c r="R1753" t="str">
        <f>""</f>
        <v/>
      </c>
      <c r="S1753" t="str">
        <f>""</f>
        <v/>
      </c>
      <c r="T1753" t="str">
        <f>"https://portaletrasparenza.consorziobacchiglione.it/dettagli/attodigara/625/riparazione-e-manutenzione-mezzi-con-targa-da203yw-ds718aa-dn881sc.html"</f>
        <v>https://portaletrasparenza.consorziobacchiglione.it/dettagli/attodigara/625/riparazione-e-manutenzione-mezzi-con-targa-da203yw-ds718aa-dn881sc.html</v>
      </c>
      <c r="U1753" t="str">
        <f>""</f>
        <v/>
      </c>
      <c r="V17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54" spans="1:22" x14ac:dyDescent="0.3">
      <c r="A1754" t="str">
        <f>"Affidamento"</f>
        <v>Affidamento</v>
      </c>
      <c r="B1754" t="str">
        <f>"Fornitura materiale edile per Idrovora Vaso Cavaizze."</f>
        <v>Fornitura materiale edile per Idrovora Vaso Cavaizze.</v>
      </c>
      <c r="C1754" t="str">
        <f>"ZA41ACAFF3"</f>
        <v>ZA41ACAFF3</v>
      </c>
      <c r="D1754" t="str">
        <f>"04/11/2021"</f>
        <v>04/11/2021</v>
      </c>
      <c r="E1754" t="str">
        <f>""</f>
        <v/>
      </c>
      <c r="F1754" t="str">
        <f>""</f>
        <v/>
      </c>
      <c r="G1754" t="str">
        <f>"502.00"</f>
        <v>502.00</v>
      </c>
      <c r="H1754" t="str">
        <f>"Consorzio di bonifica Bacchiglione"</f>
        <v>Consorzio di bonifica Bacchiglione</v>
      </c>
      <c r="I1754" t="str">
        <f>"92223390284"</f>
        <v>92223390284</v>
      </c>
      <c r="J1754" t="str">
        <f>"23-AFFIDAMENTO DIRETTO"</f>
        <v>23-AFFIDAMENTO DIRETTO</v>
      </c>
      <c r="K1754" t="str">
        <f>"28/07/2021"</f>
        <v>28/07/2021</v>
      </c>
      <c r="L1754" t="str">
        <f>"16/09/2021"</f>
        <v>16/09/2021</v>
      </c>
      <c r="M1754" t="str">
        <f>""</f>
        <v/>
      </c>
      <c r="N1754" t="str">
        <f>"Idronord s.r.l. Via delle Industrie 3C 30036 Santa Maria Di Sala VE"</f>
        <v>Idronord s.r.l. Via delle Industrie 3C 30036 Santa Maria Di Sala VE</v>
      </c>
      <c r="O1754" t="str">
        <f>"Idronord s.r.l. Via delle Industrie 3C 30036 Santa Maria Di Sala VE"</f>
        <v>Idronord s.r.l. Via delle Industrie 3C 30036 Santa Maria Di Sala VE</v>
      </c>
      <c r="P1754" t="str">
        <f>"ZA41ACAFF3: [502.00€ ]"</f>
        <v>ZA41ACAFF3: [502.00€ ]</v>
      </c>
      <c r="Q1754" t="str">
        <f>""</f>
        <v/>
      </c>
      <c r="R1754" t="str">
        <f>""</f>
        <v/>
      </c>
      <c r="S1754" t="str">
        <f>""</f>
        <v/>
      </c>
      <c r="T1754" t="str">
        <f>"https://portaletrasparenza.consorziobacchiglione.it/dettagli/attodigara/623/fornitura-materiale-edile-per-idrovora-vaso-cavaizze.html"</f>
        <v>https://portaletrasparenza.consorziobacchiglione.it/dettagli/attodigara/623/fornitura-materiale-edile-per-idrovora-vaso-cavaizze.html</v>
      </c>
      <c r="U1754" t="str">
        <f>""</f>
        <v/>
      </c>
      <c r="V17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55" spans="1:22" x14ac:dyDescent="0.3">
      <c r="A1755" t="str">
        <f>"Affidamento"</f>
        <v>Affidamento</v>
      </c>
      <c r="B1755" t="str">
        <f>"Lavoro di ripuntatura terreno a Monteortone"</f>
        <v>Lavoro di ripuntatura terreno a Monteortone</v>
      </c>
      <c r="C1755" t="str">
        <f>"Z731ACAC8C"</f>
        <v>Z731ACAC8C</v>
      </c>
      <c r="D1755" t="str">
        <f>"04/11/2021"</f>
        <v>04/11/2021</v>
      </c>
      <c r="E1755" t="str">
        <f>""</f>
        <v/>
      </c>
      <c r="F1755" t="str">
        <f>""</f>
        <v/>
      </c>
      <c r="G1755" t="str">
        <f>"400.00"</f>
        <v>400.00</v>
      </c>
      <c r="H1755" t="str">
        <f>"Consorzio di bonifica Bacchiglione"</f>
        <v>Consorzio di bonifica Bacchiglione</v>
      </c>
      <c r="I1755" t="str">
        <f>"92223390284"</f>
        <v>92223390284</v>
      </c>
      <c r="J1755" t="str">
        <f>"23-AFFIDAMENTO DIRETTO"</f>
        <v>23-AFFIDAMENTO DIRETTO</v>
      </c>
      <c r="K1755" t="str">
        <f>"28/07/2021"</f>
        <v>28/07/2021</v>
      </c>
      <c r="L1755" t="str">
        <f>"06/09/2021"</f>
        <v>06/09/2021</v>
      </c>
      <c r="M1755" t="str">
        <f>""</f>
        <v/>
      </c>
      <c r="N1755" t="str">
        <f>"Pittarello Stefano Via C. Marchesi 20 35010 Limena PD"</f>
        <v>Pittarello Stefano Via C. Marchesi 20 35010 Limena PD</v>
      </c>
      <c r="O1755" t="str">
        <f>"Pittarello Stefano Via C. Marchesi 20 35010 Limena PD"</f>
        <v>Pittarello Stefano Via C. Marchesi 20 35010 Limena PD</v>
      </c>
      <c r="P1755" t="str">
        <f>"Z731ACAC8C: [400.00€ ]"</f>
        <v>Z731ACAC8C: [400.00€ ]</v>
      </c>
      <c r="Q1755" t="str">
        <f>""</f>
        <v/>
      </c>
      <c r="R1755" t="str">
        <f>""</f>
        <v/>
      </c>
      <c r="S1755" t="str">
        <f>""</f>
        <v/>
      </c>
      <c r="T1755" t="str">
        <f>"https://portaletrasparenza.consorziobacchiglione.it/dettagli/attodigara/622/lavoro-di-ripuntatura-terreno-a-monteortone.html"</f>
        <v>https://portaletrasparenza.consorziobacchiglione.it/dettagli/attodigara/622/lavoro-di-ripuntatura-terreno-a-monteortone.html</v>
      </c>
      <c r="U1755" t="str">
        <f>""</f>
        <v/>
      </c>
      <c r="V17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56" spans="1:22" x14ac:dyDescent="0.3">
      <c r="A1756" t="str">
        <f>"Affidamento"</f>
        <v>Affidamento</v>
      </c>
      <c r="B1756" t="str">
        <f>"Fornitura grasso per mezzi Consorziali."</f>
        <v>Fornitura grasso per mezzi Consorziali.</v>
      </c>
      <c r="C1756" t="str">
        <f>"Z0A1ACB486"</f>
        <v>Z0A1ACB486</v>
      </c>
      <c r="D1756" t="str">
        <f>"04/11/2021"</f>
        <v>04/11/2021</v>
      </c>
      <c r="E1756" t="str">
        <f>""</f>
        <v/>
      </c>
      <c r="F1756" t="str">
        <f>""</f>
        <v/>
      </c>
      <c r="G1756" t="str">
        <f>"672.13"</f>
        <v>672.13</v>
      </c>
      <c r="H1756" t="str">
        <f>"Consorzio di bonifica Bacchiglione"</f>
        <v>Consorzio di bonifica Bacchiglione</v>
      </c>
      <c r="I1756" t="str">
        <f>"92223390284"</f>
        <v>92223390284</v>
      </c>
      <c r="J1756" t="str">
        <f>"23-AFFIDAMENTO DIRETTO"</f>
        <v>23-AFFIDAMENTO DIRETTO</v>
      </c>
      <c r="K1756" t="str">
        <f>"28/07/2021"</f>
        <v>28/07/2021</v>
      </c>
      <c r="L1756" t="str">
        <f>"14/10/2021"</f>
        <v>14/10/2021</v>
      </c>
      <c r="M1756" t="str">
        <f>""</f>
        <v/>
      </c>
      <c r="N1756" t="str">
        <f>"Centro Lubrificanti Via Oderzo 48 31040 Mansuè TV"</f>
        <v>Centro Lubrificanti Via Oderzo 48 31040 Mansuè TV</v>
      </c>
      <c r="O1756" t="str">
        <f>"Centro Lubrificanti Via Oderzo 48 31040 Mansuè TV"</f>
        <v>Centro Lubrificanti Via Oderzo 48 31040 Mansuè TV</v>
      </c>
      <c r="P1756" t="str">
        <f>"Z0A1ACB486: [660.96€ ]"</f>
        <v>Z0A1ACB486: [660.96€ ]</v>
      </c>
      <c r="Q1756" t="str">
        <f>""</f>
        <v/>
      </c>
      <c r="R1756" t="str">
        <f>""</f>
        <v/>
      </c>
      <c r="S1756" t="str">
        <f>""</f>
        <v/>
      </c>
      <c r="T1756" t="str">
        <f>"https://portaletrasparenza.consorziobacchiglione.it/dettagli/attodigara/624/fornitura-grasso-per-mezzi-consorziali.html"</f>
        <v>https://portaletrasparenza.consorziobacchiglione.it/dettagli/attodigara/624/fornitura-grasso-per-mezzi-consorziali.html</v>
      </c>
      <c r="U1756" t="str">
        <f>""</f>
        <v/>
      </c>
      <c r="V1756">
        <f>(SUBSTITUTE(Tabella1[[#This Row],[Importo di aggiudicazione]],".",","))-(SUBSTITUTE(  SUBSTITUTE(          SUBSTITUTE(Tabella1[[#This Row],[Dettaglio somme liquidate]],Tabella1[[#This Row],[CIG]]&amp;": [",""),"€ ]",""),".",","))</f>
        <v>11.169999999999959</v>
      </c>
    </row>
    <row r="1757" spans="1:22" x14ac:dyDescent="0.3">
      <c r="A1757" t="str">
        <f>"Affidamento"</f>
        <v>Affidamento</v>
      </c>
      <c r="B1757" t="str">
        <f>"Sistemazione scuro sala Presidenza e anta armadio uff. Direttore presso sede Consorziale"</f>
        <v>Sistemazione scuro sala Presidenza e anta armadio uff. Direttore presso sede Consorziale</v>
      </c>
      <c r="C1757" t="str">
        <f>"Z7F329EBA4"</f>
        <v>Z7F329EBA4</v>
      </c>
      <c r="D1757" t="str">
        <f>"29/07/2021"</f>
        <v>29/07/2021</v>
      </c>
      <c r="E1757" t="str">
        <f>""</f>
        <v/>
      </c>
      <c r="F1757" t="str">
        <f>""</f>
        <v/>
      </c>
      <c r="G1757" t="str">
        <f>"550.00"</f>
        <v>550.00</v>
      </c>
      <c r="H1757" t="str">
        <f>"Consorzio di bonifica Bacchiglione"</f>
        <v>Consorzio di bonifica Bacchiglione</v>
      </c>
      <c r="I1757" t="str">
        <f>"92223390284"</f>
        <v>92223390284</v>
      </c>
      <c r="J1757" t="str">
        <f>"23-AFFIDAMENTO DIRETTO"</f>
        <v>23-AFFIDAMENTO DIRETTO</v>
      </c>
      <c r="K1757" t="str">
        <f>"28/07/2021"</f>
        <v>28/07/2021</v>
      </c>
      <c r="L1757" t="str">
        <f>"31/08/2021"</f>
        <v>31/08/2021</v>
      </c>
      <c r="M1757" t="str">
        <f>""</f>
        <v/>
      </c>
      <c r="N1757" t="str">
        <f>"Falegnameria di F. e G. Barbato e C. s.n.c. Via Isonzo 19 35010 Vigonza PD"</f>
        <v>Falegnameria di F. e G. Barbato e C. s.n.c. Via Isonzo 19 35010 Vigonza PD</v>
      </c>
      <c r="O1757" t="str">
        <f>"Falegnameria di F. e G. Barbato e C. s.n.c. Via Isonzo 19 35010 Vigonza PD"</f>
        <v>Falegnameria di F. e G. Barbato e C. s.n.c. Via Isonzo 19 35010 Vigonza PD</v>
      </c>
      <c r="P1757" t="str">
        <f>"Z7F329EBA4: [550.00€ ]"</f>
        <v>Z7F329EBA4: [550.00€ ]</v>
      </c>
      <c r="Q1757" t="str">
        <f>""</f>
        <v/>
      </c>
      <c r="R1757" t="str">
        <f>""</f>
        <v/>
      </c>
      <c r="S1757" t="str">
        <f>""</f>
        <v/>
      </c>
      <c r="T1757" t="str">
        <f>"https://portaletrasparenza.consorziobacchiglione.it/dettagli/attodigara/7043/sistemazione-scuro-sala-presidenza-e-anta-armadio-uff-direttore-presso-sede-consorziale.html"</f>
        <v>https://portaletrasparenza.consorziobacchiglione.it/dettagli/attodigara/7043/sistemazione-scuro-sala-presidenza-e-anta-armadio-uff-direttore-presso-sede-consorziale.html</v>
      </c>
      <c r="U1757" t="str">
        <f>"https://portaletrasparenza.consorziobacchiglione.it/download/attodigara/7043/63ac45af6e2cf.PDF"</f>
        <v>https://portaletrasparenza.consorziobacchiglione.it/download/attodigara/7043/63ac45af6e2cf.PDF</v>
      </c>
      <c r="V175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58" spans="1:22" x14ac:dyDescent="0.3">
      <c r="A1758" t="str">
        <f>"Affidamento"</f>
        <v>Affidamento</v>
      </c>
      <c r="B1758" t="str">
        <f>"Lavoro di taglio, compreso lo smaltimento del materiale di risulta di una pianta posta al ciglio dello scolo Acque Straniere in Via Umberto 1° a Vallonga"</f>
        <v>Lavoro di taglio, compreso lo smaltimento del materiale di risulta di una pianta posta al ciglio dello scolo Acque Straniere in Via Umberto 1° a Vallonga</v>
      </c>
      <c r="C1758" t="str">
        <f>"Z33329E7D3"</f>
        <v>Z33329E7D3</v>
      </c>
      <c r="D1758" t="str">
        <f>"29/07/2021"</f>
        <v>29/07/2021</v>
      </c>
      <c r="E1758" t="str">
        <f>""</f>
        <v/>
      </c>
      <c r="F1758" t="str">
        <f>""</f>
        <v/>
      </c>
      <c r="G1758" t="str">
        <f>"220.00"</f>
        <v>220.00</v>
      </c>
      <c r="H1758" t="str">
        <f>"Consorzio di bonifica Bacchiglione"</f>
        <v>Consorzio di bonifica Bacchiglione</v>
      </c>
      <c r="I1758" t="str">
        <f>"92223390284"</f>
        <v>92223390284</v>
      </c>
      <c r="J1758" t="str">
        <f>"23-AFFIDAMENTO DIRETTO"</f>
        <v>23-AFFIDAMENTO DIRETTO</v>
      </c>
      <c r="K1758" t="str">
        <f>"28/07/2021"</f>
        <v>28/07/2021</v>
      </c>
      <c r="L1758" t="str">
        <f>"10/08/2021"</f>
        <v>10/08/2021</v>
      </c>
      <c r="M1758" t="str">
        <f>""</f>
        <v/>
      </c>
      <c r="N1758" t="str">
        <f>"Zanella Andrea Via quattrocà 9 35010 Vigonza PD"</f>
        <v>Zanella Andrea Via quattrocà 9 35010 Vigonza PD</v>
      </c>
      <c r="O1758" t="str">
        <f>"Zanella Andrea Via quattrocà 9 35010 Vigonza PD"</f>
        <v>Zanella Andrea Via quattrocà 9 35010 Vigonza PD</v>
      </c>
      <c r="P1758" t="str">
        <f>"Z33329E7D3: [220.00€ ]"</f>
        <v>Z33329E7D3: [220.00€ ]</v>
      </c>
      <c r="Q1758" t="str">
        <f>""</f>
        <v/>
      </c>
      <c r="R1758" t="str">
        <f>""</f>
        <v/>
      </c>
      <c r="S1758" t="str">
        <f>""</f>
        <v/>
      </c>
      <c r="T1758" t="str">
        <f>"https://portaletrasparenza.consorziobacchiglione.it/dettagli/attodigara/7042/lavoro-di-taglio-compreso-lo-smaltimento-del-materiale-di-risulta-di-una-pianta-posta-al-ciglio-dello-scolo-acque-straniere-in-via-umberto-1-a-vallonga.html"</f>
        <v>https://portaletrasparenza.consorziobacchiglione.it/dettagli/attodigara/7042/lavoro-di-taglio-compreso-lo-smaltimento-del-materiale-di-risulta-di-una-pianta-posta-al-ciglio-dello-scolo-acque-straniere-in-via-umberto-1-a-vallonga.html</v>
      </c>
      <c r="U1758" t="str">
        <f>"https://portaletrasparenza.consorziobacchiglione.it/download/attodigara/7042/63ac45af3583a.PDF"</f>
        <v>https://portaletrasparenza.consorziobacchiglione.it/download/attodigara/7042/63ac45af3583a.PDF</v>
      </c>
      <c r="V17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59" spans="1:22" x14ac:dyDescent="0.3">
      <c r="A1759" t="str">
        <f>"Affidamento"</f>
        <v>Affidamento</v>
      </c>
      <c r="B1759" t="str">
        <f>"Interventi di ripristino dell'affluente allo scolo Schilla denominato Cà Molin in località Brusadure del Comune di Bovolenta (PD) - Processo ID 008-09."</f>
        <v>Interventi di ripristino dell'affluente allo scolo Schilla denominato Cà Molin in località Brusadure del Comune di Bovolenta (PD) - Processo ID 008-09.</v>
      </c>
      <c r="C1759" t="str">
        <f>"8844875DBD"</f>
        <v>8844875DBD</v>
      </c>
      <c r="D1759" t="str">
        <f>"30/07/2021"</f>
        <v>30/07/2021</v>
      </c>
      <c r="E1759" t="str">
        <f>""</f>
        <v/>
      </c>
      <c r="F1759" t="str">
        <f>""</f>
        <v/>
      </c>
      <c r="G1759" t="str">
        <f>"48431.00"</f>
        <v>48431.00</v>
      </c>
      <c r="H1759" t="str">
        <f>"Consorzio di bonifica Bacchiglione"</f>
        <v>Consorzio di bonifica Bacchiglione</v>
      </c>
      <c r="I1759" t="str">
        <f>"92223390284"</f>
        <v>92223390284</v>
      </c>
      <c r="J1759" t="str">
        <f>"23-AFFIDAMENTO DIRETTO"</f>
        <v>23-AFFIDAMENTO DIRETTO</v>
      </c>
      <c r="K1759" t="str">
        <f>"28/07/2021"</f>
        <v>28/07/2021</v>
      </c>
      <c r="L1759" t="str">
        <f>"08/03/2022"</f>
        <v>08/03/2022</v>
      </c>
      <c r="M1759" t="str">
        <f>""</f>
        <v/>
      </c>
      <c r="N1759" t="str">
        <f>"Martini Luciano s.r.l."</f>
        <v>Martini Luciano s.r.l.</v>
      </c>
      <c r="O1759" t="str">
        <f>"Martini Luciano s.r.l."</f>
        <v>Martini Luciano s.r.l.</v>
      </c>
      <c r="P1759" t="str">
        <f>"8844875DBD: [48422.14€ ]"</f>
        <v>8844875DBD: [48422.14€ ]</v>
      </c>
      <c r="Q1759" t="str">
        <f>""</f>
        <v/>
      </c>
      <c r="R1759" t="str">
        <f>""</f>
        <v/>
      </c>
      <c r="S1759" t="str">
        <f>""</f>
        <v/>
      </c>
      <c r="T1759" t="str">
        <f>"https://portaletrasparenza.consorziobacchiglione.it/dettagli/attodigara/7041/interventi-di-ripristino-dell-affluente-allo-scolo-schilla-denominato-ca-molin-in-localita-brusadure-del-comune-di-bovolenta-pd-processo-id-008-09.html"</f>
        <v>https://portaletrasparenza.consorziobacchiglione.it/dettagli/attodigara/7041/interventi-di-ripristino-dell-affluente-allo-scolo-schilla-denominato-ca-molin-in-localita-brusadure-del-comune-di-bovolenta-pd-processo-id-008-09.html</v>
      </c>
      <c r="U1759" t="str">
        <f>"https://portaletrasparenza.consorziobacchiglione.it/download/attodigara/7041/63ac45b099db1.PDF"</f>
        <v>https://portaletrasparenza.consorziobacchiglione.it/download/attodigara/7041/63ac45b099db1.PDF</v>
      </c>
      <c r="V1759">
        <f>(SUBSTITUTE(Tabella1[[#This Row],[Importo di aggiudicazione]],".",","))-(SUBSTITUTE(  SUBSTITUTE(          SUBSTITUTE(Tabella1[[#This Row],[Dettaglio somme liquidate]],Tabella1[[#This Row],[CIG]]&amp;": [",""),"€ ]",""),".",","))</f>
        <v>8.8600000000005821</v>
      </c>
    </row>
    <row r="1760" spans="1:22" x14ac:dyDescent="0.3">
      <c r="A1760" t="str">
        <f>"Affidamento"</f>
        <v>Affidamento</v>
      </c>
      <c r="B1760" t="str">
        <f>"Revisione mezzo con targa: PDB49360"</f>
        <v>Revisione mezzo con targa: PDB49360</v>
      </c>
      <c r="C1760" t="str">
        <f>"Z1D1B5A71E"</f>
        <v>Z1D1B5A71E</v>
      </c>
      <c r="D1760" t="str">
        <f>"04/11/2021"</f>
        <v>04/11/2021</v>
      </c>
      <c r="E1760" t="str">
        <f>""</f>
        <v/>
      </c>
      <c r="F1760" t="str">
        <f>""</f>
        <v/>
      </c>
      <c r="G1760" t="str">
        <f>"77.66"</f>
        <v>77.66</v>
      </c>
      <c r="H1760" t="str">
        <f>"Consorzio di bonifica Bacchiglione"</f>
        <v>Consorzio di bonifica Bacchiglione</v>
      </c>
      <c r="I1760" t="str">
        <f>"92223390284"</f>
        <v>92223390284</v>
      </c>
      <c r="J1760" t="str">
        <f>"23-AFFIDAMENTO DIRETTO"</f>
        <v>23-AFFIDAMENTO DIRETTO</v>
      </c>
      <c r="K1760" t="str">
        <f>"28/09/2021"</f>
        <v>28/09/2021</v>
      </c>
      <c r="L1760" t="str">
        <f>"09/11/2021"</f>
        <v>09/11/2021</v>
      </c>
      <c r="M1760" t="str">
        <f>""</f>
        <v/>
      </c>
      <c r="N1760" t="str">
        <f>"Elettrodiesel Peruzzo s.r.l. Via Tevere 30 35135 Padova"</f>
        <v>Elettrodiesel Peruzzo s.r.l. Via Tevere 30 35135 Padova</v>
      </c>
      <c r="O1760" t="str">
        <f>"Elettrodiesel Peruzzo s.r.l. Via Tevere 30 35135 Padova"</f>
        <v>Elettrodiesel Peruzzo s.r.l. Via Tevere 30 35135 Padova</v>
      </c>
      <c r="P1760" t="s">
        <v>355</v>
      </c>
      <c r="Q1760" t="str">
        <f>""</f>
        <v/>
      </c>
      <c r="R1760" t="str">
        <f>""</f>
        <v/>
      </c>
      <c r="S1760" t="str">
        <f>""</f>
        <v/>
      </c>
      <c r="T1760" t="str">
        <f>"https://portaletrasparenza.consorziobacchiglione.it/dettagli/attodigara/779/revisione-mezzo-con-targa-pdb49360.html"</f>
        <v>https://portaletrasparenza.consorziobacchiglione.it/dettagli/attodigara/779/revisione-mezzo-con-targa-pdb49360.html</v>
      </c>
      <c r="U1760" t="str">
        <f>""</f>
        <v/>
      </c>
      <c r="V17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61" spans="1:22" x14ac:dyDescent="0.3">
      <c r="A1761" t="str">
        <f>"Affidamento"</f>
        <v>Affidamento</v>
      </c>
      <c r="B1761" t="str">
        <f>"Fornitura e installazione carellino per lance a 4 beccucci per gruppi pirodiserbo."</f>
        <v>Fornitura e installazione carellino per lance a 4 beccucci per gruppi pirodiserbo.</v>
      </c>
      <c r="C1761" t="str">
        <f>"Z741B5A804"</f>
        <v>Z741B5A804</v>
      </c>
      <c r="D1761" t="str">
        <f>"04/11/2021"</f>
        <v>04/11/2021</v>
      </c>
      <c r="E1761" t="str">
        <f>""</f>
        <v/>
      </c>
      <c r="F1761" t="str">
        <f>""</f>
        <v/>
      </c>
      <c r="G1761" t="str">
        <f>"486.00"</f>
        <v>486.00</v>
      </c>
      <c r="H1761" t="str">
        <f>"Consorzio di bonifica Bacchiglione"</f>
        <v>Consorzio di bonifica Bacchiglione</v>
      </c>
      <c r="I1761" t="str">
        <f>"92223390284"</f>
        <v>92223390284</v>
      </c>
      <c r="J1761" t="str">
        <f>"23-AFFIDAMENTO DIRETTO"</f>
        <v>23-AFFIDAMENTO DIRETTO</v>
      </c>
      <c r="K1761" t="str">
        <f>"28/09/2021"</f>
        <v>28/09/2021</v>
      </c>
      <c r="L1761" t="str">
        <f>"03/01/2021"</f>
        <v>03/01/2021</v>
      </c>
      <c r="M1761" t="str">
        <f>""</f>
        <v/>
      </c>
      <c r="N1761" t="str">
        <f>"Officina Biesse S.n.c. Via Matteotti 24 35020 Arzergrande PD"</f>
        <v>Officina Biesse S.n.c. Via Matteotti 24 35020 Arzergrande PD</v>
      </c>
      <c r="O1761" t="str">
        <f>"Officina Biesse S.n.c. Via Matteotti 24 35020 Arzergrande PD"</f>
        <v>Officina Biesse S.n.c. Via Matteotti 24 35020 Arzergrande PD</v>
      </c>
      <c r="P1761" t="str">
        <f>"Z741B5A804: [486.00€ ]"</f>
        <v>Z741B5A804: [486.00€ ]</v>
      </c>
      <c r="Q1761" t="str">
        <f>""</f>
        <v/>
      </c>
      <c r="R1761" t="str">
        <f>""</f>
        <v/>
      </c>
      <c r="S1761" t="str">
        <f>""</f>
        <v/>
      </c>
      <c r="T1761" t="str">
        <f>"https://portaletrasparenza.consorziobacchiglione.it/dettagli/attodigara/780/fornitura-e-installazione-carellino-per-lance-a-4-beccucci-per-gruppi-pirodiserbo.html"</f>
        <v>https://portaletrasparenza.consorziobacchiglione.it/dettagli/attodigara/780/fornitura-e-installazione-carellino-per-lance-a-4-beccucci-per-gruppi-pirodiserbo.html</v>
      </c>
      <c r="U1761" t="str">
        <f>""</f>
        <v/>
      </c>
      <c r="V176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62" spans="1:22" x14ac:dyDescent="0.3">
      <c r="A1762" t="str">
        <f>"Affidamento"</f>
        <v>Affidamento</v>
      </c>
      <c r="B1762" t="str">
        <f>"Installazione sistema satellitare su mezzi con targa: EW924ED, DA202YW."</f>
        <v>Installazione sistema satellitare su mezzi con targa: EW924ED, DA202YW.</v>
      </c>
      <c r="C1762" t="str">
        <f>"ZEC1B5A60B"</f>
        <v>ZEC1B5A60B</v>
      </c>
      <c r="D1762" t="str">
        <f>"04/11/2021"</f>
        <v>04/11/2021</v>
      </c>
      <c r="E1762" t="str">
        <f>""</f>
        <v/>
      </c>
      <c r="F1762" t="str">
        <f>""</f>
        <v/>
      </c>
      <c r="G1762" t="str">
        <f>"1480.00"</f>
        <v>1480.00</v>
      </c>
      <c r="H1762" t="str">
        <f>"Consorzio di bonifica Bacchiglione"</f>
        <v>Consorzio di bonifica Bacchiglione</v>
      </c>
      <c r="I1762" t="str">
        <f>"92223390284"</f>
        <v>92223390284</v>
      </c>
      <c r="J1762" t="str">
        <f>"23-AFFIDAMENTO DIRETTO"</f>
        <v>23-AFFIDAMENTO DIRETTO</v>
      </c>
      <c r="K1762" t="str">
        <f>"28/09/2021"</f>
        <v>28/09/2021</v>
      </c>
      <c r="L1762" t="str">
        <f>"15/11/2021"</f>
        <v>15/11/2021</v>
      </c>
      <c r="M1762" t="str">
        <f>""</f>
        <v/>
      </c>
      <c r="N1762" t="str">
        <f>"Vise Elettrocar Via Montagnon 61 35028 Tognana di Piove di Sacco PD"</f>
        <v>Vise Elettrocar Via Montagnon 61 35028 Tognana di Piove di Sacco PD</v>
      </c>
      <c r="O1762" t="str">
        <f>"Vise Elettrocar Via Montagnon 61 35028 Tognana di Piove di Sacco PD"</f>
        <v>Vise Elettrocar Via Montagnon 61 35028 Tognana di Piove di Sacco PD</v>
      </c>
      <c r="P1762" t="str">
        <f>"ZEC1B5A60B: [1480.00€ ]"</f>
        <v>ZEC1B5A60B: [1480.00€ ]</v>
      </c>
      <c r="Q1762" t="str">
        <f>""</f>
        <v/>
      </c>
      <c r="R1762" t="str">
        <f>""</f>
        <v/>
      </c>
      <c r="S1762" t="str">
        <f>""</f>
        <v/>
      </c>
      <c r="T1762" t="str">
        <f>"https://portaletrasparenza.consorziobacchiglione.it/dettagli/attodigara/778/installazione-sistema-satellitare-su-mezzi-con-targa-ew924ed-da202yw.html"</f>
        <v>https://portaletrasparenza.consorziobacchiglione.it/dettagli/attodigara/778/installazione-sistema-satellitare-su-mezzi-con-targa-ew924ed-da202yw.html</v>
      </c>
      <c r="U1762" t="str">
        <f>""</f>
        <v/>
      </c>
      <c r="V176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63" spans="1:22" x14ac:dyDescent="0.3">
      <c r="A1763" t="str">
        <f>"Affidamento"</f>
        <v>Affidamento</v>
      </c>
      <c r="B1763" t="str">
        <f>"Manutenzione e riparazione elettropompa n.5 Varisco J150"</f>
        <v>Manutenzione e riparazione elettropompa n.5 Varisco J150</v>
      </c>
      <c r="C1763" t="str">
        <f>"Z3F3335EDB"</f>
        <v>Z3F3335EDB</v>
      </c>
      <c r="D1763" t="str">
        <f>"29/09/2021"</f>
        <v>29/09/2021</v>
      </c>
      <c r="E1763" t="str">
        <f>""</f>
        <v/>
      </c>
      <c r="F1763" t="str">
        <f>""</f>
        <v/>
      </c>
      <c r="G1763" t="str">
        <f>"2036.00"</f>
        <v>2036.00</v>
      </c>
      <c r="H1763" t="str">
        <f>"Consorzio di bonifica Bacchiglione"</f>
        <v>Consorzio di bonifica Bacchiglione</v>
      </c>
      <c r="I1763" t="str">
        <f>"92223390284"</f>
        <v>92223390284</v>
      </c>
      <c r="J1763" t="str">
        <f>"23-AFFIDAMENTO DIRETTO"</f>
        <v>23-AFFIDAMENTO DIRETTO</v>
      </c>
      <c r="K1763" t="str">
        <f>"28/09/2021"</f>
        <v>28/09/2021</v>
      </c>
      <c r="L1763" t="str">
        <f>"12/10/2021"</f>
        <v>12/10/2021</v>
      </c>
      <c r="M1763" t="str">
        <f>""</f>
        <v/>
      </c>
      <c r="N1763" t="str">
        <f>"Officina Biesse S.n.c. Via Matteotti 24 35020 Arzergrande PD"</f>
        <v>Officina Biesse S.n.c. Via Matteotti 24 35020 Arzergrande PD</v>
      </c>
      <c r="O1763" t="str">
        <f>"Officina Biesse S.n.c. Via Matteotti 24 35020 Arzergrande PD"</f>
        <v>Officina Biesse S.n.c. Via Matteotti 24 35020 Arzergrande PD</v>
      </c>
      <c r="P1763" t="s">
        <v>216</v>
      </c>
      <c r="Q1763" t="str">
        <f>""</f>
        <v/>
      </c>
      <c r="R1763" t="str">
        <f>""</f>
        <v/>
      </c>
      <c r="S1763" t="str">
        <f>""</f>
        <v/>
      </c>
      <c r="T1763" t="str">
        <f>"https://portaletrasparenza.consorziobacchiglione.it/dettagli/attodigara/7173/manutenzione-e-riparazione-elettropompa-n-5-varisco-j150.html"</f>
        <v>https://portaletrasparenza.consorziobacchiglione.it/dettagli/attodigara/7173/manutenzione-e-riparazione-elettropompa-n-5-varisco-j150.html</v>
      </c>
      <c r="U1763" t="str">
        <f>"https://portaletrasparenza.consorziobacchiglione.it/download/attodigara/7173/63ac45d027899.PDF"</f>
        <v>https://portaletrasparenza.consorziobacchiglione.it/download/attodigara/7173/63ac45d027899.PDF</v>
      </c>
      <c r="V176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64" spans="1:22" x14ac:dyDescent="0.3">
      <c r="A1764" t="str">
        <f>"Affidamento"</f>
        <v>Affidamento</v>
      </c>
      <c r="B1764" t="str">
        <f>"Fornitura ricambi per benna Herder del mezzo targato: AKA712"</f>
        <v>Fornitura ricambi per benna Herder del mezzo targato: AKA712</v>
      </c>
      <c r="C1764" t="str">
        <f>"ZB03338528"</f>
        <v>ZB03338528</v>
      </c>
      <c r="D1764" t="str">
        <f>"29/09/2021"</f>
        <v>29/09/2021</v>
      </c>
      <c r="E1764" t="str">
        <f>""</f>
        <v/>
      </c>
      <c r="F1764" t="str">
        <f>""</f>
        <v/>
      </c>
      <c r="G1764" t="str">
        <f>"1732.51"</f>
        <v>1732.51</v>
      </c>
      <c r="H1764" t="str">
        <f>"Consorzio di bonifica Bacchiglione"</f>
        <v>Consorzio di bonifica Bacchiglione</v>
      </c>
      <c r="I1764" t="str">
        <f>"92223390284"</f>
        <v>92223390284</v>
      </c>
      <c r="J1764" t="str">
        <f>"23-AFFIDAMENTO DIRETTO"</f>
        <v>23-AFFIDAMENTO DIRETTO</v>
      </c>
      <c r="K1764" t="str">
        <f>"28/09/2021"</f>
        <v>28/09/2021</v>
      </c>
      <c r="L1764" t="str">
        <f>"12/10/2021"</f>
        <v>12/10/2021</v>
      </c>
      <c r="M1764" t="str">
        <f>""</f>
        <v/>
      </c>
      <c r="N1764" t="str">
        <f>"Adriatica Commerciale Macchine s.r.l. Via dell'Artigianato 5 35020 Due Carrare PD"</f>
        <v>Adriatica Commerciale Macchine s.r.l. Via dell'Artigianato 5 35020 Due Carrare PD</v>
      </c>
      <c r="O1764" t="str">
        <f>"Adriatica Commerciale Macchine s.r.l. Via dell'Artigianato 5 35020 Due Carrare PD"</f>
        <v>Adriatica Commerciale Macchine s.r.l. Via dell'Artigianato 5 35020 Due Carrare PD</v>
      </c>
      <c r="P1764" t="s">
        <v>223</v>
      </c>
      <c r="Q1764" t="str">
        <f>""</f>
        <v/>
      </c>
      <c r="R1764" t="str">
        <f>""</f>
        <v/>
      </c>
      <c r="S1764" t="str">
        <f>""</f>
        <v/>
      </c>
      <c r="T1764" t="str">
        <f>"https://portaletrasparenza.consorziobacchiglione.it/dettagli/attodigara/7174/fornitura-ricambi-per-benna-herder-del-mezzo-targato-aka712.html"</f>
        <v>https://portaletrasparenza.consorziobacchiglione.it/dettagli/attodigara/7174/fornitura-ricambi-per-benna-herder-del-mezzo-targato-aka712.html</v>
      </c>
      <c r="U1764" t="str">
        <f>"https://portaletrasparenza.consorziobacchiglione.it/download/attodigara/7174/63ac45d060518.PDF"</f>
        <v>https://portaletrasparenza.consorziobacchiglione.it/download/attodigara/7174/63ac45d060518.PDF</v>
      </c>
      <c r="V176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65" spans="1:22" x14ac:dyDescent="0.3">
      <c r="A1765" t="str">
        <f>"Affidamento"</f>
        <v>Affidamento</v>
      </c>
      <c r="B1765" t="str">
        <f>"Fornitura ricambi vari per mezzi Consortili"</f>
        <v>Fornitura ricambi vari per mezzi Consortili</v>
      </c>
      <c r="C1765" t="str">
        <f>"Z9A33395C7"</f>
        <v>Z9A33395C7</v>
      </c>
      <c r="D1765" t="str">
        <f>"29/09/2021"</f>
        <v>29/09/2021</v>
      </c>
      <c r="E1765" t="str">
        <f>""</f>
        <v/>
      </c>
      <c r="F1765" t="str">
        <f>""</f>
        <v/>
      </c>
      <c r="G1765" t="str">
        <f>"240.72"</f>
        <v>240.72</v>
      </c>
      <c r="H1765" t="str">
        <f>"Consorzio di bonifica Bacchiglione"</f>
        <v>Consorzio di bonifica Bacchiglione</v>
      </c>
      <c r="I1765" t="str">
        <f>"92223390284"</f>
        <v>92223390284</v>
      </c>
      <c r="J1765" t="str">
        <f>"23-AFFIDAMENTO DIRETTO"</f>
        <v>23-AFFIDAMENTO DIRETTO</v>
      </c>
      <c r="K1765" t="str">
        <f>"28/09/2021"</f>
        <v>28/09/2021</v>
      </c>
      <c r="L1765" t="str">
        <f>"08/10/2021"</f>
        <v>08/10/2021</v>
      </c>
      <c r="M1765" t="str">
        <f>""</f>
        <v/>
      </c>
      <c r="N1765" t="str">
        <f>"Autoricambi s.n.c. di Mardegan Paolo e Manfron Veronica Via A.Valerio 26-28 Piove di Sacco PD"</f>
        <v>Autoricambi s.n.c. di Mardegan Paolo e Manfron Veronica Via A.Valerio 26-28 Piove di Sacco PD</v>
      </c>
      <c r="O1765" t="str">
        <f>"Autoricambi s.n.c. di Mardegan Paolo e Manfron Veronica Via A.Valerio 26-28 Piove di Sacco PD"</f>
        <v>Autoricambi s.n.c. di Mardegan Paolo e Manfron Veronica Via A.Valerio 26-28 Piove di Sacco PD</v>
      </c>
      <c r="P1765" t="s">
        <v>297</v>
      </c>
      <c r="Q1765" t="str">
        <f>""</f>
        <v/>
      </c>
      <c r="R1765" t="str">
        <f>""</f>
        <v/>
      </c>
      <c r="S1765" t="str">
        <f>""</f>
        <v/>
      </c>
      <c r="T1765" t="str">
        <f>"https://portaletrasparenza.consorziobacchiglione.it/dettagli/attodigara/7175/fornitura-ricambi-vari-per-mezzi-consortili.html"</f>
        <v>https://portaletrasparenza.consorziobacchiglione.it/dettagli/attodigara/7175/fornitura-ricambi-vari-per-mezzi-consortili.html</v>
      </c>
      <c r="U1765" t="str">
        <f>"https://portaletrasparenza.consorziobacchiglione.it/download/attodigara/7175/63ac45d098fc6.PDF"</f>
        <v>https://portaletrasparenza.consorziobacchiglione.it/download/attodigara/7175/63ac45d098fc6.PDF</v>
      </c>
      <c r="V176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66" spans="1:22" x14ac:dyDescent="0.3">
      <c r="A1766" t="str">
        <f>"Affidamento"</f>
        <v>Affidamento</v>
      </c>
      <c r="B1766" t="str">
        <f>"Servizio di Smont/mont con Bilanciature e Convergenza del mezzo targato: EW924ED"</f>
        <v>Servizio di Smont/mont con Bilanciature e Convergenza del mezzo targato: EW924ED</v>
      </c>
      <c r="C1766" t="str">
        <f>"Z093339AD1"</f>
        <v>Z093339AD1</v>
      </c>
      <c r="D1766" t="str">
        <f>"29/09/2021"</f>
        <v>29/09/2021</v>
      </c>
      <c r="E1766" t="str">
        <f>""</f>
        <v/>
      </c>
      <c r="F1766" t="str">
        <f>""</f>
        <v/>
      </c>
      <c r="G1766" t="str">
        <f>"75.00"</f>
        <v>75.00</v>
      </c>
      <c r="H1766" t="str">
        <f>"Consorzio di bonifica Bacchiglione"</f>
        <v>Consorzio di bonifica Bacchiglione</v>
      </c>
      <c r="I1766" t="str">
        <f>"92223390284"</f>
        <v>92223390284</v>
      </c>
      <c r="J1766" t="str">
        <f>"23-AFFIDAMENTO DIRETTO"</f>
        <v>23-AFFIDAMENTO DIRETTO</v>
      </c>
      <c r="K1766" t="str">
        <f>"28/09/2021"</f>
        <v>28/09/2021</v>
      </c>
      <c r="L1766" t="str">
        <f>"31/10/2021"</f>
        <v>31/10/2021</v>
      </c>
      <c r="M1766" t="str">
        <f>""</f>
        <v/>
      </c>
      <c r="N1766" t="str">
        <f>"Ri.gom.ma S.R.L. Via Orlando, 47 - 30173 Campalto (VE)"</f>
        <v>Ri.gom.ma S.R.L. Via Orlando, 47 - 30173 Campalto (VE)</v>
      </c>
      <c r="O1766" t="str">
        <f>"Ri.gom.ma S.R.L. Via Orlando, 47 - 30173 Campalto (VE)"</f>
        <v>Ri.gom.ma S.R.L. Via Orlando, 47 - 30173 Campalto (VE)</v>
      </c>
      <c r="P1766" t="s">
        <v>323</v>
      </c>
      <c r="Q1766" t="str">
        <f>""</f>
        <v/>
      </c>
      <c r="R1766" t="str">
        <f>""</f>
        <v/>
      </c>
      <c r="S1766" t="str">
        <f>""</f>
        <v/>
      </c>
      <c r="T1766" t="str">
        <f>"https://portaletrasparenza.consorziobacchiglione.it/dettagli/attodigara/7177/servizio-di-smont-mont-con-bilanciature-e-convergenza-del-mezzo-targato-ew924ed.html"</f>
        <v>https://portaletrasparenza.consorziobacchiglione.it/dettagli/attodigara/7177/servizio-di-smont-mont-con-bilanciature-e-convergenza-del-mezzo-targato-ew924ed.html</v>
      </c>
      <c r="U1766" t="str">
        <f>"https://portaletrasparenza.consorziobacchiglione.it/download/attodigara/7177/63ac45d116df1.PDF"</f>
        <v>https://portaletrasparenza.consorziobacchiglione.it/download/attodigara/7177/63ac45d116df1.PDF</v>
      </c>
      <c r="V176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67" spans="1:22" x14ac:dyDescent="0.3">
      <c r="A1767" t="str">
        <f>"Affidamento"</f>
        <v>Affidamento</v>
      </c>
      <c r="B1767" t="str">
        <f>"Fornitura olio HP 5 litri per motosega presso C.O.S.Margherita"</f>
        <v>Fornitura olio HP 5 litri per motosega presso C.O.S.Margherita</v>
      </c>
      <c r="C1767" t="str">
        <f>"Z713339874"</f>
        <v>Z713339874</v>
      </c>
      <c r="D1767" t="str">
        <f>"29/09/2021"</f>
        <v>29/09/2021</v>
      </c>
      <c r="E1767" t="str">
        <f>""</f>
        <v/>
      </c>
      <c r="F1767" t="str">
        <f>""</f>
        <v/>
      </c>
      <c r="G1767" t="str">
        <f>"53.28"</f>
        <v>53.28</v>
      </c>
      <c r="H1767" t="str">
        <f>"Consorzio di bonifica Bacchiglione"</f>
        <v>Consorzio di bonifica Bacchiglione</v>
      </c>
      <c r="I1767" t="str">
        <f>"92223390284"</f>
        <v>92223390284</v>
      </c>
      <c r="J1767" t="str">
        <f>"23-AFFIDAMENTO DIRETTO"</f>
        <v>23-AFFIDAMENTO DIRETTO</v>
      </c>
      <c r="K1767" t="str">
        <f>"28/09/2021"</f>
        <v>28/09/2021</v>
      </c>
      <c r="L1767" t="str">
        <f>"23/11/2021"</f>
        <v>23/11/2021</v>
      </c>
      <c r="M1767" t="str">
        <f>""</f>
        <v/>
      </c>
      <c r="N1767" t="str">
        <f>"Mini Motor di Vettorato Gabriele Via Puccini 3 35020 Brugine PD"</f>
        <v>Mini Motor di Vettorato Gabriele Via Puccini 3 35020 Brugine PD</v>
      </c>
      <c r="O1767" t="str">
        <f>"Mini Motor di Vettorato Gabriele Via Puccini 3 35020 Brugine PD"</f>
        <v>Mini Motor di Vettorato Gabriele Via Puccini 3 35020 Brugine PD</v>
      </c>
      <c r="P1767" t="str">
        <f>"Z713339874: [53.28€ ]"</f>
        <v>Z713339874: [53.28€ ]</v>
      </c>
      <c r="Q1767" t="str">
        <f>""</f>
        <v/>
      </c>
      <c r="R1767" t="str">
        <f>""</f>
        <v/>
      </c>
      <c r="S1767" t="str">
        <f>""</f>
        <v/>
      </c>
      <c r="T1767" t="str">
        <f>"https://portaletrasparenza.consorziobacchiglione.it/dettagli/attodigara/7176/fornitura-olio-hp-5-litri-per-motosega-presso-c-o-s-margherita.html"</f>
        <v>https://portaletrasparenza.consorziobacchiglione.it/dettagli/attodigara/7176/fornitura-olio-hp-5-litri-per-motosega-presso-c-o-s-margherita.html</v>
      </c>
      <c r="U1767" t="str">
        <f>"https://portaletrasparenza.consorziobacchiglione.it/download/attodigara/7176/63ac45d0d211a.PDF"</f>
        <v>https://portaletrasparenza.consorziobacchiglione.it/download/attodigara/7176/63ac45d0d211a.PDF</v>
      </c>
      <c r="V176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68" spans="1:22" x14ac:dyDescent="0.3">
      <c r="A1768" t="str">
        <f>"Affidamento"</f>
        <v>Affidamento</v>
      </c>
      <c r="B1768" t="str">
        <f>"ID 020-21 - Incarico per progettazione esecutiva Trezze irriguo 2° stralcio. - Processo ID 020-21."</f>
        <v>ID 020-21 - Incarico per progettazione esecutiva Trezze irriguo 2° stralcio. - Processo ID 020-21.</v>
      </c>
      <c r="C1768" t="str">
        <f>"89596633CE"</f>
        <v>89596633CE</v>
      </c>
      <c r="D1768" t="str">
        <f>"02/11/2021"</f>
        <v>02/11/2021</v>
      </c>
      <c r="E1768" t="str">
        <f>""</f>
        <v/>
      </c>
      <c r="F1768" t="str">
        <f>""</f>
        <v/>
      </c>
      <c r="G1768" t="str">
        <f>"56160.00"</f>
        <v>56160.00</v>
      </c>
      <c r="H1768" t="str">
        <f>"Consorzio di bonifica Bacchiglione"</f>
        <v>Consorzio di bonifica Bacchiglione</v>
      </c>
      <c r="I1768" t="str">
        <f>"92223390284"</f>
        <v>92223390284</v>
      </c>
      <c r="J1768" t="str">
        <f>"23-AFFIDAMENTO DIRETTO"</f>
        <v>23-AFFIDAMENTO DIRETTO</v>
      </c>
      <c r="K1768" t="str">
        <f>"28/10/2021"</f>
        <v>28/10/2021</v>
      </c>
      <c r="L1768" t="str">
        <f>"18/11/2022"</f>
        <v>18/11/2022</v>
      </c>
      <c r="M1768" t="str">
        <f>""</f>
        <v/>
      </c>
      <c r="N1768" t="str">
        <f>"Ingegneria 2P E Associati S.r.l."</f>
        <v>Ingegneria 2P E Associati S.r.l.</v>
      </c>
      <c r="O1768" t="str">
        <f>"Ingegneria 2P E Associati S.r.l."</f>
        <v>Ingegneria 2P E Associati S.r.l.</v>
      </c>
      <c r="P1768" t="s">
        <v>136</v>
      </c>
      <c r="Q1768" t="str">
        <f>""</f>
        <v/>
      </c>
      <c r="R1768" t="str">
        <f>""</f>
        <v/>
      </c>
      <c r="S1768" t="str">
        <f>""</f>
        <v/>
      </c>
      <c r="T1768" t="str">
        <f>"https://portaletrasparenza.consorziobacchiglione.it/dettagli/attodigara/7248/id-020-21-incarico-per-progettazione-esecutiva-trezze-irriguo-2-stralcio-processo-id-020-21.html"</f>
        <v>https://portaletrasparenza.consorziobacchiglione.it/dettagli/attodigara/7248/id-020-21-incarico-per-progettazione-esecutiva-trezze-irriguo-2-stralcio-processo-id-020-21.html</v>
      </c>
      <c r="U1768" t="str">
        <f>"https://portaletrasparenza.consorziobacchiglione.it/download/attodigara/7248/63ac45e327bc7.PDF"</f>
        <v>https://portaletrasparenza.consorziobacchiglione.it/download/attodigara/7248/63ac45e327bc7.PDF</v>
      </c>
      <c r="V17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69" spans="1:22" x14ac:dyDescent="0.3">
      <c r="A1769" t="str">
        <f>"Affidamento"</f>
        <v>Affidamento</v>
      </c>
      <c r="B1769" t="str">
        <f>"Fornitura materiale elettrico per sostegno delle Basse, Piccolo, Governo (Ricicleria)"</f>
        <v>Fornitura materiale elettrico per sostegno delle Basse, Piccolo, Governo (Ricicleria)</v>
      </c>
      <c r="C1769" t="str">
        <f>"Z9A33AB573"</f>
        <v>Z9A33AB573</v>
      </c>
      <c r="D1769" t="str">
        <f>"02/11/2021"</f>
        <v>02/11/2021</v>
      </c>
      <c r="E1769" t="str">
        <f>""</f>
        <v/>
      </c>
      <c r="F1769" t="str">
        <f>""</f>
        <v/>
      </c>
      <c r="G1769" t="str">
        <f>"3796.60"</f>
        <v>3796.60</v>
      </c>
      <c r="H1769" t="str">
        <f>"Consorzio di bonifica Bacchiglione"</f>
        <v>Consorzio di bonifica Bacchiglione</v>
      </c>
      <c r="I1769" t="str">
        <f>"92223390284"</f>
        <v>92223390284</v>
      </c>
      <c r="J1769" t="str">
        <f>"23-AFFIDAMENTO DIRETTO"</f>
        <v>23-AFFIDAMENTO DIRETTO</v>
      </c>
      <c r="K1769" t="str">
        <f>"28/10/2021"</f>
        <v>28/10/2021</v>
      </c>
      <c r="L1769" t="str">
        <f>"22/12/2021"</f>
        <v>22/12/2021</v>
      </c>
      <c r="M1769" t="str">
        <f>""</f>
        <v/>
      </c>
      <c r="N1769" t="str">
        <f>"Elettroveneta S.p.A. Viale della Navigazione Interna, 48 - 35129 Padova (PD)"</f>
        <v>Elettroveneta S.p.A. Viale della Navigazione Interna, 48 - 35129 Padova (PD)</v>
      </c>
      <c r="O1769" t="str">
        <f>"Elettroveneta S.p.A. Viale della Navigazione Interna, 48 - 35129 Padova (PD)"</f>
        <v>Elettroveneta S.p.A. Viale della Navigazione Interna, 48 - 35129 Padova (PD)</v>
      </c>
      <c r="P1769" t="s">
        <v>203</v>
      </c>
      <c r="Q1769" t="str">
        <f>""</f>
        <v/>
      </c>
      <c r="R1769" t="str">
        <f>""</f>
        <v/>
      </c>
      <c r="S1769" t="str">
        <f>""</f>
        <v/>
      </c>
      <c r="T1769" t="str">
        <f>"https://portaletrasparenza.consorziobacchiglione.it/dettagli/attodigara/7249/fornitura-materiale-elettrico-per-sostegno-delle-basse-piccolo-governo-ricicleria.html"</f>
        <v>https://portaletrasparenza.consorziobacchiglione.it/dettagli/attodigara/7249/fornitura-materiale-elettrico-per-sostegno-delle-basse-piccolo-governo-ricicleria.html</v>
      </c>
      <c r="U1769" t="str">
        <f>"https://portaletrasparenza.consorziobacchiglione.it/download/attodigara/7249/63ac45e2a4036.PDF"</f>
        <v>https://portaletrasparenza.consorziobacchiglione.it/download/attodigara/7249/63ac45e2a4036.PDF</v>
      </c>
      <c r="V176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70" spans="1:22" x14ac:dyDescent="0.3">
      <c r="A1770" t="str">
        <f>"Affidamento"</f>
        <v>Affidamento</v>
      </c>
      <c r="B1770" t="str">
        <f>"Lavoro di sistemazione sponde del mezzo targato: AJ206BM"</f>
        <v>Lavoro di sistemazione sponde del mezzo targato: AJ206BM</v>
      </c>
      <c r="C1770" t="str">
        <f>"Z2233AD3DB"</f>
        <v>Z2233AD3DB</v>
      </c>
      <c r="D1770" t="str">
        <f>"02/11/2021"</f>
        <v>02/11/2021</v>
      </c>
      <c r="E1770" t="str">
        <f>""</f>
        <v/>
      </c>
      <c r="F1770" t="str">
        <f>""</f>
        <v/>
      </c>
      <c r="G1770" t="str">
        <f>"765.00"</f>
        <v>765.00</v>
      </c>
      <c r="H1770" t="str">
        <f>"Consorzio di bonifica Bacchiglione"</f>
        <v>Consorzio di bonifica Bacchiglione</v>
      </c>
      <c r="I1770" t="str">
        <f>"92223390284"</f>
        <v>92223390284</v>
      </c>
      <c r="J1770" t="str">
        <f>"23-AFFIDAMENTO DIRETTO"</f>
        <v>23-AFFIDAMENTO DIRETTO</v>
      </c>
      <c r="K1770" t="str">
        <f>"28/10/2021"</f>
        <v>28/10/2021</v>
      </c>
      <c r="L1770" t="str">
        <f>"06/12/2021"</f>
        <v>06/12/2021</v>
      </c>
      <c r="M1770" t="str">
        <f>""</f>
        <v/>
      </c>
      <c r="N1770" t="str">
        <f>"Carrozzeria Biasion S.N.C. Via Bassa 45 35020 Arzergrande PD"</f>
        <v>Carrozzeria Biasion S.N.C. Via Bassa 45 35020 Arzergrande PD</v>
      </c>
      <c r="O1770" t="str">
        <f>"Carrozzeria Biasion S.N.C. Via Bassa 45 35020 Arzergrande PD"</f>
        <v>Carrozzeria Biasion S.N.C. Via Bassa 45 35020 Arzergrande PD</v>
      </c>
      <c r="P1770" t="s">
        <v>248</v>
      </c>
      <c r="Q1770" t="str">
        <f>""</f>
        <v/>
      </c>
      <c r="R1770" t="str">
        <f>""</f>
        <v/>
      </c>
      <c r="S1770" t="str">
        <f>""</f>
        <v/>
      </c>
      <c r="T1770" t="str">
        <f>"https://portaletrasparenza.consorziobacchiglione.it/dettagli/attodigara/7250/lavoro-di-sistemazione-sponde-del-mezzo-targato-aj206bm.html"</f>
        <v>https://portaletrasparenza.consorziobacchiglione.it/dettagli/attodigara/7250/lavoro-di-sistemazione-sponde-del-mezzo-targato-aj206bm.html</v>
      </c>
      <c r="U1770" t="str">
        <f>"https://portaletrasparenza.consorziobacchiglione.it/download/attodigara/7250/63ac45e2dd1b3.PDF"</f>
        <v>https://portaletrasparenza.consorziobacchiglione.it/download/attodigara/7250/63ac45e2dd1b3.PDF</v>
      </c>
      <c r="V177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71" spans="1:22" x14ac:dyDescent="0.3">
      <c r="A1771" t="str">
        <f>"Affidamento"</f>
        <v>Affidamento</v>
      </c>
      <c r="B1771" t="str">
        <f>"Inserimento di nuove funzionalità nell'applicazione informatica denominata \'GLAM\' attualmente utilizzata dal Consorzio."</f>
        <v>Inserimento di nuove funzionalità nell'applicazione informatica denominata \'GLAM\' attualmente utilizzata dal Consorzio.</v>
      </c>
      <c r="C1771" t="str">
        <f>"ZAA1C3D880"</f>
        <v>ZAA1C3D880</v>
      </c>
      <c r="D1771" t="str">
        <f>"04/11/2021"</f>
        <v>04/11/2021</v>
      </c>
      <c r="E1771" t="str">
        <f>""</f>
        <v/>
      </c>
      <c r="F1771" t="str">
        <f>""</f>
        <v/>
      </c>
      <c r="G1771" t="str">
        <f>"2600.00"</f>
        <v>2600.00</v>
      </c>
      <c r="H1771" t="str">
        <f>"Consorzio di bonifica Bacchiglione"</f>
        <v>Consorzio di bonifica Bacchiglione</v>
      </c>
      <c r="I1771" t="str">
        <f>"92223390284"</f>
        <v>92223390284</v>
      </c>
      <c r="J1771" t="str">
        <f>"23-AFFIDAMENTO DIRETTO"</f>
        <v>23-AFFIDAMENTO DIRETTO</v>
      </c>
      <c r="K1771" t="str">
        <f>"28/11/2021"</f>
        <v>28/11/2021</v>
      </c>
      <c r="L1771" t="str">
        <f>"07/02/2021"</f>
        <v>07/02/2021</v>
      </c>
      <c r="M1771" t="str">
        <f>""</f>
        <v/>
      </c>
      <c r="N1771" t="str">
        <f>"Ing. Gianni Furlan Via Jacopo Crescini 61 35126 Padova"</f>
        <v>Ing. Gianni Furlan Via Jacopo Crescini 61 35126 Padova</v>
      </c>
      <c r="O1771" t="str">
        <f>"Ing. Gianni Furlan Via Jacopo Crescini 61 35126 Padova"</f>
        <v>Ing. Gianni Furlan Via Jacopo Crescini 61 35126 Padova</v>
      </c>
      <c r="P1771" t="str">
        <f>"ZAA1C3D880: [2600.00€ ]"</f>
        <v>ZAA1C3D880: [2600.00€ ]</v>
      </c>
      <c r="Q1771" t="str">
        <f>""</f>
        <v/>
      </c>
      <c r="R1771" t="str">
        <f>""</f>
        <v/>
      </c>
      <c r="S1771" t="str">
        <f>""</f>
        <v/>
      </c>
      <c r="T1771" t="str">
        <f>"https://portaletrasparenza.consorziobacchiglione.it/dettagli/attodigara/955/inserimento-di-nuove-funzionalita-nell-applicazione-informatica-denominata-glam-attualmente-utilizzata-dal-consorzio.html"</f>
        <v>https://portaletrasparenza.consorziobacchiglione.it/dettagli/attodigara/955/inserimento-di-nuove-funzionalita-nell-applicazione-informatica-denominata-glam-attualmente-utilizzata-dal-consorzio.html</v>
      </c>
      <c r="U1771" t="str">
        <f>""</f>
        <v/>
      </c>
      <c r="V177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72" spans="1:22" x14ac:dyDescent="0.3">
      <c r="A1772" t="str">
        <f>"Affidamento"</f>
        <v>Affidamento</v>
      </c>
      <c r="B1772" t="str">
        <f>"Controllo periodico carroponte per la verifica del limitatore di carico."</f>
        <v>Controllo periodico carroponte per la verifica del limitatore di carico.</v>
      </c>
      <c r="C1772" t="str">
        <f>"ZBA1C3DADA"</f>
        <v>ZBA1C3DADA</v>
      </c>
      <c r="D1772" t="str">
        <f>"04/11/2021"</f>
        <v>04/11/2021</v>
      </c>
      <c r="E1772" t="str">
        <f>""</f>
        <v/>
      </c>
      <c r="F1772" t="str">
        <f>""</f>
        <v/>
      </c>
      <c r="G1772" t="str">
        <f>"3000.00"</f>
        <v>3000.00</v>
      </c>
      <c r="H1772" t="str">
        <f>"Consorzio di bonifica Bacchiglione"</f>
        <v>Consorzio di bonifica Bacchiglione</v>
      </c>
      <c r="I1772" t="str">
        <f>"92223390284"</f>
        <v>92223390284</v>
      </c>
      <c r="J1772" t="str">
        <f>"23-AFFIDAMENTO DIRETTO"</f>
        <v>23-AFFIDAMENTO DIRETTO</v>
      </c>
      <c r="K1772" t="str">
        <f>"28/11/2021"</f>
        <v>28/11/2021</v>
      </c>
      <c r="L1772" t="str">
        <f>"28/02/2021"</f>
        <v>28/02/2021</v>
      </c>
      <c r="M1772" t="str">
        <f>""</f>
        <v/>
      </c>
      <c r="N1772" t="str">
        <f>"OMIS SERVICE s.r.l. via Chizzalunga, 8 - 36066 Sandrigo (VI)"</f>
        <v>OMIS SERVICE s.r.l. via Chizzalunga, 8 - 36066 Sandrigo (VI)</v>
      </c>
      <c r="O1772" t="str">
        <f>"OMIS SERVICE s.r.l. via Chizzalunga, 8 - 36066 Sandrigo (VI)"</f>
        <v>OMIS SERVICE s.r.l. via Chizzalunga, 8 - 36066 Sandrigo (VI)</v>
      </c>
      <c r="P1772" t="str">
        <f>"ZBA1C3DADA: [2648.00€ ]"</f>
        <v>ZBA1C3DADA: [2648.00€ ]</v>
      </c>
      <c r="Q1772" t="str">
        <f>""</f>
        <v/>
      </c>
      <c r="R1772" t="str">
        <f>""</f>
        <v/>
      </c>
      <c r="S1772" t="str">
        <f>""</f>
        <v/>
      </c>
      <c r="T1772" t="str">
        <f>"https://portaletrasparenza.consorziobacchiglione.it/dettagli/attodigara/956/controllo-periodico-carroponte-per-la-verifica-del-limitatore-di-carico.html"</f>
        <v>https://portaletrasparenza.consorziobacchiglione.it/dettagli/attodigara/956/controllo-periodico-carroponte-per-la-verifica-del-limitatore-di-carico.html</v>
      </c>
      <c r="U1772" t="str">
        <f>""</f>
        <v/>
      </c>
      <c r="V1772">
        <f>(SUBSTITUTE(Tabella1[[#This Row],[Importo di aggiudicazione]],".",","))-(SUBSTITUTE(  SUBSTITUTE(          SUBSTITUTE(Tabella1[[#This Row],[Dettaglio somme liquidate]],Tabella1[[#This Row],[CIG]]&amp;": [",""),"€ ]",""),".",","))</f>
        <v>352</v>
      </c>
    </row>
    <row r="1773" spans="1:22" x14ac:dyDescent="0.3">
      <c r="A1773" t="str">
        <f>"Affidamento"</f>
        <v>Affidamento</v>
      </c>
      <c r="B1773" t="str">
        <f>"Installazione nuovo inverter per pompa n. 4 presso idrovora di Cambroso."</f>
        <v>Installazione nuovo inverter per pompa n. 4 presso idrovora di Cambroso.</v>
      </c>
      <c r="C1773" t="str">
        <f>"ZE31CBBCEC"</f>
        <v>ZE31CBBCEC</v>
      </c>
      <c r="D1773" t="str">
        <f>"04/11/2021"</f>
        <v>04/11/2021</v>
      </c>
      <c r="E1773" t="str">
        <f>""</f>
        <v/>
      </c>
      <c r="F1773" t="str">
        <f>""</f>
        <v/>
      </c>
      <c r="G1773" t="str">
        <f>"2990.00"</f>
        <v>2990.00</v>
      </c>
      <c r="H1773" t="str">
        <f>"Consorzio di bonifica Bacchiglione"</f>
        <v>Consorzio di bonifica Bacchiglione</v>
      </c>
      <c r="I1773" t="str">
        <f>"92223390284"</f>
        <v>92223390284</v>
      </c>
      <c r="J1773" t="str">
        <f>"23-AFFIDAMENTO DIRETTO"</f>
        <v>23-AFFIDAMENTO DIRETTO</v>
      </c>
      <c r="K1773" t="str">
        <f>"28/12/2021"</f>
        <v>28/12/2021</v>
      </c>
      <c r="L1773" t="str">
        <f>"07/08/2021"</f>
        <v>07/08/2021</v>
      </c>
      <c r="M1773" t="str">
        <f>""</f>
        <v/>
      </c>
      <c r="N1773" t="str">
        <f>"A.S.P. Tecnologie srl Via Padre Nicolini 29 35013 Cittadella PD | Dimel s.a.s. di Donado Luca e C. Via Unità d'Italia 12 35020 Brugine PD | Picello Mauro Studio Tecnico Viale del Progresso 14A 35026 Conselve PD"</f>
        <v>A.S.P. Tecnologie srl Via Padre Nicolini 29 35013 Cittadella PD | Dimel s.a.s. di Donado Luca e C. Via Unità d'Italia 12 35020 Brugine PD | Picello Mauro Studio Tecnico Viale del Progresso 14A 35026 Conselve PD</v>
      </c>
      <c r="O1773" t="str">
        <f>"Dimel s.a.s. di Donado Luca e C. Via Unità d'Italia 12 35020 Brugine PD"</f>
        <v>Dimel s.a.s. di Donado Luca e C. Via Unità d'Italia 12 35020 Brugine PD</v>
      </c>
      <c r="P1773" t="str">
        <f>"ZE31CBBCEC: [2990.00€ ]"</f>
        <v>ZE31CBBCEC: [2990.00€ ]</v>
      </c>
      <c r="Q1773" t="str">
        <f>""</f>
        <v/>
      </c>
      <c r="R1773" t="str">
        <f>""</f>
        <v/>
      </c>
      <c r="S1773" t="str">
        <f>""</f>
        <v/>
      </c>
      <c r="T1773" t="str">
        <f>"https://portaletrasparenza.consorziobacchiglione.it/dettagli/attodigara/1043/installazione-nuovo-inverter-per-pompa-n-4-presso-idrovora-di-cambroso.html"</f>
        <v>https://portaletrasparenza.consorziobacchiglione.it/dettagli/attodigara/1043/installazione-nuovo-inverter-per-pompa-n-4-presso-idrovora-di-cambroso.html</v>
      </c>
      <c r="U1773" t="str">
        <f>""</f>
        <v/>
      </c>
      <c r="V177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74" spans="1:22" x14ac:dyDescent="0.3">
      <c r="A1774" t="str">
        <f>"Affidamento"</f>
        <v>Affidamento</v>
      </c>
      <c r="B1774" t="str">
        <f>"Rimozione vecchio quadro e inverter pompa n. 2 e fornitura e installazione nuovo quadro con funzionalità del preesistente, presso idrovora S. Margherita."</f>
        <v>Rimozione vecchio quadro e inverter pompa n. 2 e fornitura e installazione nuovo quadro con funzionalità del preesistente, presso idrovora S. Margherita.</v>
      </c>
      <c r="C1774" t="str">
        <f>"ZBF1CBB724"</f>
        <v>ZBF1CBB724</v>
      </c>
      <c r="D1774" t="str">
        <f>"04/11/2021"</f>
        <v>04/11/2021</v>
      </c>
      <c r="E1774" t="str">
        <f>""</f>
        <v/>
      </c>
      <c r="F1774" t="str">
        <f>""</f>
        <v/>
      </c>
      <c r="G1774" t="str">
        <f>"9400.00"</f>
        <v>9400.00</v>
      </c>
      <c r="H1774" t="str">
        <f>"Consorzio di bonifica Bacchiglione"</f>
        <v>Consorzio di bonifica Bacchiglione</v>
      </c>
      <c r="I1774" t="str">
        <f>"92223390284"</f>
        <v>92223390284</v>
      </c>
      <c r="J1774" t="str">
        <f>"23-AFFIDAMENTO DIRETTO"</f>
        <v>23-AFFIDAMENTO DIRETTO</v>
      </c>
      <c r="K1774" t="str">
        <f>"28/12/2021"</f>
        <v>28/12/2021</v>
      </c>
      <c r="L1774" t="str">
        <f>"31/01/2021"</f>
        <v>31/01/2021</v>
      </c>
      <c r="M1774" t="str">
        <f>""</f>
        <v/>
      </c>
      <c r="N1774" t="str">
        <f>"A.S.P. Tecnologie srl Via Padre Nicolini 29 35013 Cittadella PD | Dimel s.a.s. di Donado Luca e C. Via Unità d'Italia 12 35020 Brugine PD | Picello Mauro Studio Tecnico Viale del Progresso 14A 35026 Conselve PD"</f>
        <v>A.S.P. Tecnologie srl Via Padre Nicolini 29 35013 Cittadella PD | Dimel s.a.s. di Donado Luca e C. Via Unità d'Italia 12 35020 Brugine PD | Picello Mauro Studio Tecnico Viale del Progresso 14A 35026 Conselve PD</v>
      </c>
      <c r="O1774" t="str">
        <f>"Dimel s.a.s. di Donado Luca e C. Via Unità d'Italia 12 35020 Brugine PD"</f>
        <v>Dimel s.a.s. di Donado Luca e C. Via Unità d'Italia 12 35020 Brugine PD</v>
      </c>
      <c r="P1774" t="str">
        <f>"ZBF1CBB724: [9400.00€ ]"</f>
        <v>ZBF1CBB724: [9400.00€ ]</v>
      </c>
      <c r="Q1774" t="str">
        <f>""</f>
        <v/>
      </c>
      <c r="R1774" t="str">
        <f>""</f>
        <v/>
      </c>
      <c r="S1774" t="str">
        <f>""</f>
        <v/>
      </c>
      <c r="T1774" t="str">
        <f>"https://portaletrasparenza.consorziobacchiglione.it/dettagli/attodigara/1042/rimozione-vecchio-quadro-e-inverter-pompa-n-2-e-fornitura-e-installazione-nuovo-quadro-con-funzionalita-del-preesistente-presso-idrovora-s-margherita.html"</f>
        <v>https://portaletrasparenza.consorziobacchiglione.it/dettagli/attodigara/1042/rimozione-vecchio-quadro-e-inverter-pompa-n-2-e-fornitura-e-installazione-nuovo-quadro-con-funzionalita-del-preesistente-presso-idrovora-s-margherita.html</v>
      </c>
      <c r="U1774" t="str">
        <f>""</f>
        <v/>
      </c>
      <c r="V177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75" spans="1:22" x14ac:dyDescent="0.3">
      <c r="A1775" t="str">
        <f>"Affidamento"</f>
        <v>Affidamento</v>
      </c>
      <c r="B1775" t="str">
        <f>"Posa in opera inverter per pompa n. 4 presso idrovora S. Margherita."</f>
        <v>Posa in opera inverter per pompa n. 4 presso idrovora S. Margherita.</v>
      </c>
      <c r="C1775" t="str">
        <f>"Z4D1CBB2E3"</f>
        <v>Z4D1CBB2E3</v>
      </c>
      <c r="D1775" t="str">
        <f>"04/11/2021"</f>
        <v>04/11/2021</v>
      </c>
      <c r="E1775" t="str">
        <f>""</f>
        <v/>
      </c>
      <c r="F1775" t="str">
        <f>""</f>
        <v/>
      </c>
      <c r="G1775" t="str">
        <f>"1690.00"</f>
        <v>1690.00</v>
      </c>
      <c r="H1775" t="str">
        <f>"Consorzio di bonifica Bacchiglione"</f>
        <v>Consorzio di bonifica Bacchiglione</v>
      </c>
      <c r="I1775" t="str">
        <f>"92223390284"</f>
        <v>92223390284</v>
      </c>
      <c r="J1775" t="str">
        <f>"23-AFFIDAMENTO DIRETTO"</f>
        <v>23-AFFIDAMENTO DIRETTO</v>
      </c>
      <c r="K1775" t="str">
        <f>"28/12/2021"</f>
        <v>28/12/2021</v>
      </c>
      <c r="L1775" t="str">
        <f>"31/12/2021"</f>
        <v>31/12/2021</v>
      </c>
      <c r="M1775" t="str">
        <f>""</f>
        <v/>
      </c>
      <c r="N1775" t="str">
        <f>"A.S.P. Tecnologie srl Via Padre Nicolini 29 35013 Cittadella PD | Dimel s.a.s. di Donado Luca e C. Via Unità d'Italia 12 35020 Brugine PD | Picello s.r.l. V.le del Progresso 14A 35026 Conselve PD"</f>
        <v>A.S.P. Tecnologie srl Via Padre Nicolini 29 35013 Cittadella PD | Dimel s.a.s. di Donado Luca e C. Via Unità d'Italia 12 35020 Brugine PD | Picello s.r.l. V.le del Progresso 14A 35026 Conselve PD</v>
      </c>
      <c r="O1775" t="str">
        <f>"Dimel s.a.s. di Donado Luca e C. Via Unità d'Italia 12 35020 Brugine PD"</f>
        <v>Dimel s.a.s. di Donado Luca e C. Via Unità d'Italia 12 35020 Brugine PD</v>
      </c>
      <c r="P1775" t="str">
        <f>"Z4D1CBB2E3: [0.00€ ]"</f>
        <v>Z4D1CBB2E3: [0.00€ ]</v>
      </c>
      <c r="Q1775" t="str">
        <f>""</f>
        <v/>
      </c>
      <c r="R1775" t="str">
        <f>""</f>
        <v/>
      </c>
      <c r="S1775" t="str">
        <f>""</f>
        <v/>
      </c>
      <c r="T1775" t="str">
        <f>"https://portaletrasparenza.consorziobacchiglione.it/dettagli/attodigara/1041/posa-in-opera-inverter-per-pompa-n-4-presso-idrovora-s-margherita.html"</f>
        <v>https://portaletrasparenza.consorziobacchiglione.it/dettagli/attodigara/1041/posa-in-opera-inverter-per-pompa-n-4-presso-idrovora-s-margherita.html</v>
      </c>
      <c r="U1775" t="str">
        <f>""</f>
        <v/>
      </c>
      <c r="V1775">
        <f>(SUBSTITUTE(Tabella1[[#This Row],[Importo di aggiudicazione]],".",","))-(SUBSTITUTE(  SUBSTITUTE(          SUBSTITUTE(Tabella1[[#This Row],[Dettaglio somme liquidate]],Tabella1[[#This Row],[CIG]]&amp;": [",""),"€ ]",""),".",","))</f>
        <v>1690</v>
      </c>
    </row>
    <row r="1776" spans="1:22" x14ac:dyDescent="0.3">
      <c r="A1776" t="str">
        <f>"Affidamento"</f>
        <v>Affidamento</v>
      </c>
      <c r="B1776" t="str">
        <f>"Fornitura motore elettrico trifase Siemens KW 132, 8 poli B5, per pompa n. 1 presso Idrovora Valli di Camin."</f>
        <v>Fornitura motore elettrico trifase Siemens KW 132, 8 poli B5, per pompa n. 1 presso Idrovora Valli di Camin.</v>
      </c>
      <c r="C1776" t="str">
        <f>"Z571CBB0AE"</f>
        <v>Z571CBB0AE</v>
      </c>
      <c r="D1776" t="str">
        <f>"04/11/2021"</f>
        <v>04/11/2021</v>
      </c>
      <c r="E1776" t="str">
        <f>""</f>
        <v/>
      </c>
      <c r="F1776" t="str">
        <f>""</f>
        <v/>
      </c>
      <c r="G1776" t="str">
        <f>"12119.67"</f>
        <v>12119.67</v>
      </c>
      <c r="H1776" t="str">
        <f>"Consorzio di bonifica Bacchiglione"</f>
        <v>Consorzio di bonifica Bacchiglione</v>
      </c>
      <c r="I1776" t="str">
        <f>"92223390284"</f>
        <v>92223390284</v>
      </c>
      <c r="J1776" t="str">
        <f>"23-AFFIDAMENTO DIRETTO"</f>
        <v>23-AFFIDAMENTO DIRETTO</v>
      </c>
      <c r="K1776" t="str">
        <f>"28/12/2021"</f>
        <v>28/12/2021</v>
      </c>
      <c r="L1776" t="str">
        <f>"14/03/2021"</f>
        <v>14/03/2021</v>
      </c>
      <c r="M1776" t="str">
        <f>""</f>
        <v/>
      </c>
      <c r="N1776" t="str">
        <f>"Scarpa Sergio Elettromeccanica S.n.c. di Scarpa Paola E C. Via A. Vivaldi 7 35028 Piove di Sacco PD | Dimel s.a.s. di Donado Luca e C. Via Unità d'Italia 12 35020 Brugine PD | M.V.R. Motori Ventilatori Ridotturi SPA"</f>
        <v>Scarpa Sergio Elettromeccanica S.n.c. di Scarpa Paola E C. Via A. Vivaldi 7 35028 Piove di Sacco PD | Dimel s.a.s. di Donado Luca e C. Via Unità d'Italia 12 35020 Brugine PD | M.V.R. Motori Ventilatori Ridotturi SPA</v>
      </c>
      <c r="O1776" t="str">
        <f>"M.V.R. Motori Ventilatori Ridotturi SPA"</f>
        <v>M.V.R. Motori Ventilatori Ridotturi SPA</v>
      </c>
      <c r="P1776" t="str">
        <f>"Z571CBB0AE: [2666.33€ ]"</f>
        <v>Z571CBB0AE: [2666.33€ ]</v>
      </c>
      <c r="Q1776" t="str">
        <f>""</f>
        <v/>
      </c>
      <c r="R1776" t="str">
        <f>""</f>
        <v/>
      </c>
      <c r="S1776" t="str">
        <f>""</f>
        <v/>
      </c>
      <c r="T1776" t="str">
        <f>"https://portaletrasparenza.consorziobacchiglione.it/dettagli/attodigara/1040/fornitura-motore-elettrico-trifase-siemens-kw-132-8-poli-b5-per-pompa-n-1-presso-idrovora-valli-di-camin.html"</f>
        <v>https://portaletrasparenza.consorziobacchiglione.it/dettagli/attodigara/1040/fornitura-motore-elettrico-trifase-siemens-kw-132-8-poli-b5-per-pompa-n-1-presso-idrovora-valli-di-camin.html</v>
      </c>
      <c r="U1776" t="str">
        <f>""</f>
        <v/>
      </c>
      <c r="V1776">
        <f>(SUBSTITUTE(Tabella1[[#This Row],[Importo di aggiudicazione]],".",","))-(SUBSTITUTE(  SUBSTITUTE(          SUBSTITUTE(Tabella1[[#This Row],[Dettaglio somme liquidate]],Tabella1[[#This Row],[CIG]]&amp;": [",""),"€ ]",""),".",","))</f>
        <v>9453.34</v>
      </c>
    </row>
    <row r="1777" spans="1:22" x14ac:dyDescent="0.3">
      <c r="A1777" t="str">
        <f>"Affidamento"</f>
        <v>Affidamento</v>
      </c>
      <c r="B1777" t="str">
        <f>"Controllo periodico estintori, porte tagliafuoco REI, porte non REI e maniglioni antipanico su impianti idrovori e irrigui, manufatti e automezzi."</f>
        <v>Controllo periodico estintori, porte tagliafuoco REI, porte non REI e maniglioni antipanico su impianti idrovori e irrigui, manufatti e automezzi.</v>
      </c>
      <c r="C1777" t="str">
        <f>"Z7E1847A8D"</f>
        <v>Z7E1847A8D</v>
      </c>
      <c r="D1777" t="str">
        <f>"04/11/2021"</f>
        <v>04/11/2021</v>
      </c>
      <c r="E1777" t="str">
        <f>""</f>
        <v/>
      </c>
      <c r="F1777" t="str">
        <f>""</f>
        <v/>
      </c>
      <c r="G1777" t="str">
        <f>"1431.26"</f>
        <v>1431.26</v>
      </c>
      <c r="H1777" t="str">
        <f>"Consorzio di bonifica Bacchiglione"</f>
        <v>Consorzio di bonifica Bacchiglione</v>
      </c>
      <c r="I1777" t="str">
        <f>"92223390284"</f>
        <v>92223390284</v>
      </c>
      <c r="J1777" t="str">
        <f>"23-AFFIDAMENTO DIRETTO"</f>
        <v>23-AFFIDAMENTO DIRETTO</v>
      </c>
      <c r="K1777" t="str">
        <f>"29/01/2021"</f>
        <v>29/01/2021</v>
      </c>
      <c r="L1777" t="str">
        <f>"15/02/2021"</f>
        <v>15/02/2021</v>
      </c>
      <c r="M1777" t="str">
        <f>""</f>
        <v/>
      </c>
      <c r="N1777" t="str">
        <f>"Bergamaschi Antincendi Antinfortunistica Padova s.r.l. Via G. Galilei 2-I 35030 Caselle di Selvazzano PD"</f>
        <v>Bergamaschi Antincendi Antinfortunistica Padova s.r.l. Via G. Galilei 2-I 35030 Caselle di Selvazzano PD</v>
      </c>
      <c r="O1777" t="str">
        <f>"Bergamaschi Antincendi Antinfortunistica Padova s.r.l. Via G. Galilei 2-I 35030 Caselle di Selvazzano PD"</f>
        <v>Bergamaschi Antincendi Antinfortunistica Padova s.r.l. Via G. Galilei 2-I 35030 Caselle di Selvazzano PD</v>
      </c>
      <c r="P1777" t="str">
        <f>"Z7E1847A8D: [1431.26€ ]"</f>
        <v>Z7E1847A8D: [1431.26€ ]</v>
      </c>
      <c r="Q1777" t="str">
        <f>""</f>
        <v/>
      </c>
      <c r="R1777" t="str">
        <f>""</f>
        <v/>
      </c>
      <c r="S1777" t="str">
        <f>""</f>
        <v/>
      </c>
      <c r="T1777" t="str">
        <f>"https://portaletrasparenza.consorziobacchiglione.it/dettagli/attodigara/111/controllo-periodico-estintori-porte-tagliafuoco-rei-porte-non-rei-e-maniglioni-antipanico-su-impianti-idrovori-e-irrigui-manufatti-e-automezzi.html"</f>
        <v>https://portaletrasparenza.consorziobacchiglione.it/dettagli/attodigara/111/controllo-periodico-estintori-porte-tagliafuoco-rei-porte-non-rei-e-maniglioni-antipanico-su-impianti-idrovori-e-irrigui-manufatti-e-automezzi.html</v>
      </c>
      <c r="U1777" t="str">
        <f>""</f>
        <v/>
      </c>
      <c r="V17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78" spans="1:22" x14ac:dyDescent="0.3">
      <c r="A1778" t="str">
        <f>"Affidamento"</f>
        <v>Affidamento</v>
      </c>
      <c r="B1778" t="str">
        <f>"Controllo periodico estintori, porte REI e porte non REI presso sede consorziale."</f>
        <v>Controllo periodico estintori, porte REI e porte non REI presso sede consorziale.</v>
      </c>
      <c r="C1778" t="str">
        <f>"Z261845AFD"</f>
        <v>Z261845AFD</v>
      </c>
      <c r="D1778" t="str">
        <f>"04/11/2021"</f>
        <v>04/11/2021</v>
      </c>
      <c r="E1778" t="str">
        <f>""</f>
        <v/>
      </c>
      <c r="F1778" t="str">
        <f>""</f>
        <v/>
      </c>
      <c r="G1778" t="str">
        <f>"161.88"</f>
        <v>161.88</v>
      </c>
      <c r="H1778" t="str">
        <f>"Consorzio di bonifica Bacchiglione"</f>
        <v>Consorzio di bonifica Bacchiglione</v>
      </c>
      <c r="I1778" t="str">
        <f>"92223390284"</f>
        <v>92223390284</v>
      </c>
      <c r="J1778" t="str">
        <f>"23-AFFIDAMENTO DIRETTO"</f>
        <v>23-AFFIDAMENTO DIRETTO</v>
      </c>
      <c r="K1778" t="str">
        <f>"29/01/2021"</f>
        <v>29/01/2021</v>
      </c>
      <c r="L1778" t="str">
        <f>"15/02/2021"</f>
        <v>15/02/2021</v>
      </c>
      <c r="M1778" t="str">
        <f>""</f>
        <v/>
      </c>
      <c r="N1778" t="str">
        <f>"Bergamaschi Antincendi Antinfortunistica Padova s.r.l. Via G. Galilei 2-I 35030 Caselle di Selvazzano PD"</f>
        <v>Bergamaschi Antincendi Antinfortunistica Padova s.r.l. Via G. Galilei 2-I 35030 Caselle di Selvazzano PD</v>
      </c>
      <c r="O1778" t="str">
        <f>"Bergamaschi Antincendi Antinfortunistica Padova s.r.l. Via G. Galilei 2-I 35030 Caselle di Selvazzano PD"</f>
        <v>Bergamaschi Antincendi Antinfortunistica Padova s.r.l. Via G. Galilei 2-I 35030 Caselle di Selvazzano PD</v>
      </c>
      <c r="P1778" t="str">
        <f>"Z261845AFD: [161.88€ ]"</f>
        <v>Z261845AFD: [161.88€ ]</v>
      </c>
      <c r="Q1778" t="str">
        <f>""</f>
        <v/>
      </c>
      <c r="R1778" t="str">
        <f>""</f>
        <v/>
      </c>
      <c r="S1778" t="str">
        <f>""</f>
        <v/>
      </c>
      <c r="T1778" t="str">
        <f>"https://portaletrasparenza.consorziobacchiglione.it/dettagli/attodigara/110/controllo-periodico-estintori-porte-rei-e-porte-non-rei-presso-sede-consorziale.html"</f>
        <v>https://portaletrasparenza.consorziobacchiglione.it/dettagli/attodigara/110/controllo-periodico-estintori-porte-rei-e-porte-non-rei-presso-sede-consorziale.html</v>
      </c>
      <c r="U1778" t="str">
        <f>""</f>
        <v/>
      </c>
      <c r="V177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79" spans="1:22" x14ac:dyDescent="0.3">
      <c r="A1779" t="str">
        <f>"Affidamento"</f>
        <v>Affidamento</v>
      </c>
      <c r="B1779" t="str">
        <f>"Somme a Disposizione dell'amministratore - Lavori di completamento 1^ Stazione di Sollevamento. - Processo ID 006-03."</f>
        <v>Somme a Disposizione dell'amministratore - Lavori di completamento 1^ Stazione di Sollevamento. - Processo ID 006-03.</v>
      </c>
      <c r="C1779" t="str">
        <f>"Z901846FB7"</f>
        <v>Z901846FB7</v>
      </c>
      <c r="D1779" t="str">
        <f>"04/11/2021"</f>
        <v>04/11/2021</v>
      </c>
      <c r="E1779" t="str">
        <f>""</f>
        <v/>
      </c>
      <c r="F1779" t="str">
        <f>""</f>
        <v/>
      </c>
      <c r="G1779" t="str">
        <f>"39900.57"</f>
        <v>39900.57</v>
      </c>
      <c r="H1779" t="str">
        <f>"Consorzio di bonifica Bacchiglione"</f>
        <v>Consorzio di bonifica Bacchiglione</v>
      </c>
      <c r="I1779" t="str">
        <f>"92223390284"</f>
        <v>92223390284</v>
      </c>
      <c r="J1779" t="str">
        <f>"23-AFFIDAMENTO DIRETTO"</f>
        <v>23-AFFIDAMENTO DIRETTO</v>
      </c>
      <c r="K1779" t="str">
        <f>"29/01/2021"</f>
        <v>29/01/2021</v>
      </c>
      <c r="L1779" t="str">
        <f>"31/05/2021"</f>
        <v>31/05/2021</v>
      </c>
      <c r="M1779" t="str">
        <f>""</f>
        <v/>
      </c>
      <c r="N1779" t="str">
        <f>"Viale Valter | La Cittadella s.n.c. di Ferrara Andrea E C. | Edilizia Tomasello snc Costuzioni Edili Generali"</f>
        <v>Viale Valter | La Cittadella s.n.c. di Ferrara Andrea E C. | Edilizia Tomasello snc Costuzioni Edili Generali</v>
      </c>
      <c r="O1779" t="str">
        <f>"La Cittadella s.n.c. di Ferrara Andrea E C."</f>
        <v>La Cittadella s.n.c. di Ferrara Andrea E C.</v>
      </c>
      <c r="P1779" t="str">
        <f>"Z901846FB7: [39900.57€ ]"</f>
        <v>Z901846FB7: [39900.57€ ]</v>
      </c>
      <c r="Q1779" t="str">
        <f>""</f>
        <v/>
      </c>
      <c r="R1779" t="str">
        <f>""</f>
        <v/>
      </c>
      <c r="S1779" t="str">
        <f>""</f>
        <v/>
      </c>
      <c r="T1779" t="str">
        <f>"https://portaletrasparenza.consorziobacchiglione.it/dettagli/attodigara/108/somme-a-disposizione-dell-amministratore-lavori-di-completamento-1-stazione-di-sollevamento-processo-id-006-03.html"</f>
        <v>https://portaletrasparenza.consorziobacchiglione.it/dettagli/attodigara/108/somme-a-disposizione-dell-amministratore-lavori-di-completamento-1-stazione-di-sollevamento-processo-id-006-03.html</v>
      </c>
      <c r="U1779" t="str">
        <f>""</f>
        <v/>
      </c>
      <c r="V17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80" spans="1:22" x14ac:dyDescent="0.3">
      <c r="A1780" t="str">
        <f>"Affidamento"</f>
        <v>Affidamento</v>
      </c>
      <c r="B1780" t="str">
        <f>"Fornitura GPL per sito museale C.O.S.Margherita."</f>
        <v>Fornitura GPL per sito museale C.O.S.Margherita.</v>
      </c>
      <c r="C1780" t="str">
        <f>"ZA01844FC0"</f>
        <v>ZA01844FC0</v>
      </c>
      <c r="D1780" t="str">
        <f>"04/11/2021"</f>
        <v>04/11/2021</v>
      </c>
      <c r="E1780" t="str">
        <f>""</f>
        <v/>
      </c>
      <c r="F1780" t="str">
        <f>""</f>
        <v/>
      </c>
      <c r="G1780" t="str">
        <f>"2400.00"</f>
        <v>2400.00</v>
      </c>
      <c r="H1780" t="str">
        <f>"Consorzio di bonifica Bacchiglione"</f>
        <v>Consorzio di bonifica Bacchiglione</v>
      </c>
      <c r="I1780" t="str">
        <f>"92223390284"</f>
        <v>92223390284</v>
      </c>
      <c r="J1780" t="str">
        <f>"23-AFFIDAMENTO DIRETTO"</f>
        <v>23-AFFIDAMENTO DIRETTO</v>
      </c>
      <c r="K1780" t="str">
        <f>"29/01/2021"</f>
        <v>29/01/2021</v>
      </c>
      <c r="L1780" t="str">
        <f>"22/02/2021"</f>
        <v>22/02/2021</v>
      </c>
      <c r="M1780" t="str">
        <f>""</f>
        <v/>
      </c>
      <c r="N1780" t="str">
        <f>"Loro F.lli S.p.A. Via Circonvallazione 95 36045 Lonigo VI"</f>
        <v>Loro F.lli S.p.A. Via Circonvallazione 95 36045 Lonigo VI</v>
      </c>
      <c r="O1780" t="str">
        <f>"Loro F.lli S.p.A. Via Circonvallazione 95 36045 Lonigo VI"</f>
        <v>Loro F.lli S.p.A. Via Circonvallazione 95 36045 Lonigo VI</v>
      </c>
      <c r="P1780" t="str">
        <f>"ZA01844FC0: [1765.52€ ]"</f>
        <v>ZA01844FC0: [1765.52€ ]</v>
      </c>
      <c r="Q1780" t="str">
        <f>""</f>
        <v/>
      </c>
      <c r="R1780" t="str">
        <f>""</f>
        <v/>
      </c>
      <c r="S1780" t="str">
        <f>""</f>
        <v/>
      </c>
      <c r="T1780" t="str">
        <f>"https://portaletrasparenza.consorziobacchiglione.it/dettagli/attodigara/109/fornitura-gpl-per-sito-museale-c-o-s-margherita.html"</f>
        <v>https://portaletrasparenza.consorziobacchiglione.it/dettagli/attodigara/109/fornitura-gpl-per-sito-museale-c-o-s-margherita.html</v>
      </c>
      <c r="U1780" t="str">
        <f>""</f>
        <v/>
      </c>
      <c r="V1780">
        <f>(SUBSTITUTE(Tabella1[[#This Row],[Importo di aggiudicazione]],".",","))-(SUBSTITUTE(  SUBSTITUTE(          SUBSTITUTE(Tabella1[[#This Row],[Dettaglio somme liquidate]],Tabella1[[#This Row],[CIG]]&amp;": [",""),"€ ]",""),".",","))</f>
        <v>634.48</v>
      </c>
    </row>
    <row r="1781" spans="1:22" x14ac:dyDescent="0.3">
      <c r="A1781" t="str">
        <f>"Affidamento"</f>
        <v>Affidamento</v>
      </c>
      <c r="B1781" t="str">
        <f>"Servizio di manutenzione e assistenza tecnica tutto incluso carta esclusa canon 5255i anno 2021 con opzione per una ulteriore annualità"</f>
        <v>Servizio di manutenzione e assistenza tecnica tutto incluso carta esclusa canon 5255i anno 2021 con opzione per una ulteriore annualità</v>
      </c>
      <c r="C1781" t="str">
        <f>"Z83306C404"</f>
        <v>Z83306C404</v>
      </c>
      <c r="D1781" t="str">
        <f>"29/01/2021"</f>
        <v>29/01/2021</v>
      </c>
      <c r="E1781" t="str">
        <f>""</f>
        <v/>
      </c>
      <c r="F1781" t="str">
        <f>""</f>
        <v/>
      </c>
      <c r="G1781" t="str">
        <f>"4500.00"</f>
        <v>4500.00</v>
      </c>
      <c r="H1781" t="str">
        <f>"Consorzio di bonifica Bacchiglione"</f>
        <v>Consorzio di bonifica Bacchiglione</v>
      </c>
      <c r="I1781" t="str">
        <f>"92223390284"</f>
        <v>92223390284</v>
      </c>
      <c r="J1781" t="str">
        <f>"23-AFFIDAMENTO DIRETTO"</f>
        <v>23-AFFIDAMENTO DIRETTO</v>
      </c>
      <c r="K1781" t="str">
        <f>"29/01/2021"</f>
        <v>29/01/2021</v>
      </c>
      <c r="L1781" t="str">
        <f>"31/12/2022"</f>
        <v>31/12/2022</v>
      </c>
      <c r="M1781" t="str">
        <f>""</f>
        <v/>
      </c>
      <c r="N1781" t="str">
        <f>"FR S.N.C."</f>
        <v>FR S.N.C.</v>
      </c>
      <c r="O1781" t="str">
        <f>"FR S.N.C."</f>
        <v>FR S.N.C.</v>
      </c>
      <c r="P1781" t="s">
        <v>211</v>
      </c>
      <c r="Q1781" t="str">
        <f>""</f>
        <v/>
      </c>
      <c r="R1781" t="str">
        <f>""</f>
        <v/>
      </c>
      <c r="S1781" t="str">
        <f>""</f>
        <v/>
      </c>
      <c r="T1781" t="str">
        <f>"https://portaletrasparenza.consorziobacchiglione.it/dettagli/attodigara/6594/servizio-di-manutenzione-e-assistenza-tecnica-tutto-incluso-carta-esclusa-canon-5255i-anno-2021-con-opzione-per-una-ulteriore-annualita.html"</f>
        <v>https://portaletrasparenza.consorziobacchiglione.it/dettagli/attodigara/6594/servizio-di-manutenzione-e-assistenza-tecnica-tutto-incluso-carta-esclusa-canon-5255i-anno-2021-con-opzione-per-una-ulteriore-annualita.html</v>
      </c>
      <c r="U1781" t="str">
        <f>"https://portaletrasparenza.consorziobacchiglione.it/download/attodigara/6594/63ac4553829c1.PDF"</f>
        <v>https://portaletrasparenza.consorziobacchiglione.it/download/attodigara/6594/63ac4553829c1.PDF</v>
      </c>
      <c r="V178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82" spans="1:22" x14ac:dyDescent="0.3">
      <c r="A1782" t="str">
        <f>"Affidamento"</f>
        <v>Affidamento</v>
      </c>
      <c r="B1782" t="str">
        <f>"Servizio di stampa, imbustamento e consegna al recapitatore dei solleciti di pagamento anno 2020 con contestuale procedura di omologazione degli invii mediante posta massiva."</f>
        <v>Servizio di stampa, imbustamento e consegna al recapitatore dei solleciti di pagamento anno 2020 con contestuale procedura di omologazione degli invii mediante posta massiva.</v>
      </c>
      <c r="C1782" t="str">
        <f>"Z2F306A588"</f>
        <v>Z2F306A588</v>
      </c>
      <c r="D1782" t="str">
        <f>"29/01/2021"</f>
        <v>29/01/2021</v>
      </c>
      <c r="E1782" t="str">
        <f>""</f>
        <v/>
      </c>
      <c r="F1782" t="str">
        <f>""</f>
        <v/>
      </c>
      <c r="G1782" t="str">
        <f>"2050.00"</f>
        <v>2050.00</v>
      </c>
      <c r="H1782" t="str">
        <f>"Consorzio di bonifica Bacchiglione"</f>
        <v>Consorzio di bonifica Bacchiglione</v>
      </c>
      <c r="I1782" t="str">
        <f>"92223390284"</f>
        <v>92223390284</v>
      </c>
      <c r="J1782" t="str">
        <f>"23-AFFIDAMENTO DIRETTO"</f>
        <v>23-AFFIDAMENTO DIRETTO</v>
      </c>
      <c r="K1782" t="str">
        <f>"29/01/2021"</f>
        <v>29/01/2021</v>
      </c>
      <c r="L1782" t="str">
        <f>"08/11/2021"</f>
        <v>08/11/2021</v>
      </c>
      <c r="M1782" t="str">
        <f>""</f>
        <v/>
      </c>
      <c r="N1782" t="str">
        <f>"POLIGRAFICO ROGGERO E TORTIA S.P.A."</f>
        <v>POLIGRAFICO ROGGERO E TORTIA S.P.A.</v>
      </c>
      <c r="O1782" t="str">
        <f>"POLIGRAFICO ROGGERO E TORTIA S.P.A."</f>
        <v>POLIGRAFICO ROGGERO E TORTIA S.P.A.</v>
      </c>
      <c r="P1782" t="s">
        <v>261</v>
      </c>
      <c r="Q1782" t="str">
        <f>""</f>
        <v/>
      </c>
      <c r="R1782" t="str">
        <f>""</f>
        <v/>
      </c>
      <c r="S1782" t="str">
        <f>""</f>
        <v/>
      </c>
      <c r="T1782" t="str">
        <f>"https://portaletrasparenza.consorziobacchiglione.it/dettagli/attodigara/6593/servizio-di-stampa-imbustamento-e-consegna-al-recapitatore-dei-solleciti-di-pagamento-anno-2020-con-contestuale-procedura-di-omologazione-degli-invii-mediante-posta-massiva.html"</f>
        <v>https://portaletrasparenza.consorziobacchiglione.it/dettagli/attodigara/6593/servizio-di-stampa-imbustamento-e-consegna-al-recapitatore-dei-solleciti-di-pagamento-anno-2020-con-contestuale-procedura-di-omologazione-degli-invii-mediante-posta-massiva.html</v>
      </c>
      <c r="U1782" t="str">
        <f>"https://portaletrasparenza.consorziobacchiglione.it/download/attodigara/6593/63ac45530a8da.PDF"</f>
        <v>https://portaletrasparenza.consorziobacchiglione.it/download/attodigara/6593/63ac45530a8da.PDF</v>
      </c>
      <c r="V17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83" spans="1:22" x14ac:dyDescent="0.3">
      <c r="A1783" t="str">
        <f>"Affidamento"</f>
        <v>Affidamento</v>
      </c>
      <c r="B1783" t="str">
        <f>"Manutenzione e riparazione trituratore su mezzo con targa : AJR631."</f>
        <v>Manutenzione e riparazione trituratore su mezzo con targa : AJR631.</v>
      </c>
      <c r="C1783" t="str">
        <f>"Z6918BDD1E"</f>
        <v>Z6918BDD1E</v>
      </c>
      <c r="D1783" t="str">
        <f>"04/11/2021"</f>
        <v>04/11/2021</v>
      </c>
      <c r="E1783" t="str">
        <f>""</f>
        <v/>
      </c>
      <c r="F1783" t="str">
        <f>""</f>
        <v/>
      </c>
      <c r="G1783" t="str">
        <f>"3473.19"</f>
        <v>3473.19</v>
      </c>
      <c r="H1783" t="str">
        <f>"Consorzio di bonifica Bacchiglione"</f>
        <v>Consorzio di bonifica Bacchiglione</v>
      </c>
      <c r="I1783" t="str">
        <f>"92223390284"</f>
        <v>92223390284</v>
      </c>
      <c r="J1783" t="str">
        <f>"23-AFFIDAMENTO DIRETTO"</f>
        <v>23-AFFIDAMENTO DIRETTO</v>
      </c>
      <c r="K1783" t="str">
        <f>"29/02/2021"</f>
        <v>29/02/2021</v>
      </c>
      <c r="L1783" t="str">
        <f>"14/04/2021"</f>
        <v>14/04/2021</v>
      </c>
      <c r="M1783" t="str">
        <f>""</f>
        <v/>
      </c>
      <c r="N1783" t="str">
        <f>"Officina Biesse S.n.c. Via Matteotti 24 35020 Arzergrande PD"</f>
        <v>Officina Biesse S.n.c. Via Matteotti 24 35020 Arzergrande PD</v>
      </c>
      <c r="O1783" t="str">
        <f>"Officina Biesse S.n.c. Via Matteotti 24 35020 Arzergrande PD"</f>
        <v>Officina Biesse S.n.c. Via Matteotti 24 35020 Arzergrande PD</v>
      </c>
      <c r="P1783" t="str">
        <f>"Z6918BDD1E: [3473.19€ ]"</f>
        <v>Z6918BDD1E: [3473.19€ ]</v>
      </c>
      <c r="Q1783" t="str">
        <f>""</f>
        <v/>
      </c>
      <c r="R1783" t="str">
        <f>""</f>
        <v/>
      </c>
      <c r="S1783" t="str">
        <f>""</f>
        <v/>
      </c>
      <c r="T1783" t="str">
        <f>"https://portaletrasparenza.consorziobacchiglione.it/dettagli/attodigara/186/manutenzione-e-riparazione-trituratore-su-mezzo-con-targa-ajr631.html"</f>
        <v>https://portaletrasparenza.consorziobacchiglione.it/dettagli/attodigara/186/manutenzione-e-riparazione-trituratore-su-mezzo-con-targa-ajr631.html</v>
      </c>
      <c r="U1783" t="str">
        <f>""</f>
        <v/>
      </c>
      <c r="V178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84" spans="1:22" x14ac:dyDescent="0.3">
      <c r="A1784" t="str">
        <f>"Affidamento"</f>
        <v>Affidamento</v>
      </c>
      <c r="B1784" t="str">
        <f>"Riparazione elettropompa Flygt 22 kw Idrovora Tre Ponti di Teolo."</f>
        <v>Riparazione elettropompa Flygt 22 kw Idrovora Tre Ponti di Teolo.</v>
      </c>
      <c r="C1784" t="str">
        <f>"Z2318BDBE6"</f>
        <v>Z2318BDBE6</v>
      </c>
      <c r="D1784" t="str">
        <f>"04/11/2021"</f>
        <v>04/11/2021</v>
      </c>
      <c r="E1784" t="str">
        <f>""</f>
        <v/>
      </c>
      <c r="F1784" t="str">
        <f>""</f>
        <v/>
      </c>
      <c r="G1784" t="str">
        <f>"1878.00"</f>
        <v>1878.00</v>
      </c>
      <c r="H1784" t="str">
        <f>"Consorzio di bonifica Bacchiglione"</f>
        <v>Consorzio di bonifica Bacchiglione</v>
      </c>
      <c r="I1784" t="str">
        <f>"92223390284"</f>
        <v>92223390284</v>
      </c>
      <c r="J1784" t="str">
        <f>"23-AFFIDAMENTO DIRETTO"</f>
        <v>23-AFFIDAMENTO DIRETTO</v>
      </c>
      <c r="K1784" t="str">
        <f>"29/02/2021"</f>
        <v>29/02/2021</v>
      </c>
      <c r="L1784" t="str">
        <f>"26/05/2021"</f>
        <v>26/05/2021</v>
      </c>
      <c r="M1784" t="str">
        <f>""</f>
        <v/>
      </c>
      <c r="N1784" t="str">
        <f>"Xylem Water Solutions Italia S.r.l. Via Gioacchino Rossini 1A 20020 Lainate MI"</f>
        <v>Xylem Water Solutions Italia S.r.l. Via Gioacchino Rossini 1A 20020 Lainate MI</v>
      </c>
      <c r="O1784" t="str">
        <f>"Xylem Water Solutions Italia S.r.l. Via Gioacchino Rossini 1A 20020 Lainate MI"</f>
        <v>Xylem Water Solutions Italia S.r.l. Via Gioacchino Rossini 1A 20020 Lainate MI</v>
      </c>
      <c r="P1784" t="str">
        <f>"Z2318BDBE6: [1878.00€ ]"</f>
        <v>Z2318BDBE6: [1878.00€ ]</v>
      </c>
      <c r="Q1784" t="str">
        <f>""</f>
        <v/>
      </c>
      <c r="R1784" t="str">
        <f>""</f>
        <v/>
      </c>
      <c r="S1784" t="str">
        <f>""</f>
        <v/>
      </c>
      <c r="T1784" t="str">
        <f>"https://portaletrasparenza.consorziobacchiglione.it/dettagli/attodigara/185/riparazione-elettropompa-flygt-22-kw-idrovora-tre-ponti-di-teolo.html"</f>
        <v>https://portaletrasparenza.consorziobacchiglione.it/dettagli/attodigara/185/riparazione-elettropompa-flygt-22-kw-idrovora-tre-ponti-di-teolo.html</v>
      </c>
      <c r="U1784" t="str">
        <f>""</f>
        <v/>
      </c>
      <c r="V17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85" spans="1:22" x14ac:dyDescent="0.3">
      <c r="A1785" t="str">
        <f>"Affidamento"</f>
        <v>Affidamento</v>
      </c>
      <c r="B1785" t="str">
        <f>"Manutenzione e riparazione mezzo con targa: AKA712"</f>
        <v>Manutenzione e riparazione mezzo con targa: AKA712</v>
      </c>
      <c r="C1785" t="str">
        <f>"Z2E18BDDE2"</f>
        <v>Z2E18BDDE2</v>
      </c>
      <c r="D1785" t="str">
        <f>"04/11/2021"</f>
        <v>04/11/2021</v>
      </c>
      <c r="E1785" t="str">
        <f>""</f>
        <v/>
      </c>
      <c r="F1785" t="str">
        <f>""</f>
        <v/>
      </c>
      <c r="G1785" t="str">
        <f>"131.39"</f>
        <v>131.39</v>
      </c>
      <c r="H1785" t="str">
        <f>"Consorzio di bonifica Bacchiglione"</f>
        <v>Consorzio di bonifica Bacchiglione</v>
      </c>
      <c r="I1785" t="str">
        <f>"92223390284"</f>
        <v>92223390284</v>
      </c>
      <c r="J1785" t="str">
        <f>"23-AFFIDAMENTO DIRETTO"</f>
        <v>23-AFFIDAMENTO DIRETTO</v>
      </c>
      <c r="K1785" t="str">
        <f>"29/02/2021"</f>
        <v>29/02/2021</v>
      </c>
      <c r="L1785" t="str">
        <f>"20/07/2021"</f>
        <v>20/07/2021</v>
      </c>
      <c r="M1785" t="str">
        <f>""</f>
        <v/>
      </c>
      <c r="N1785" t="str">
        <f>"Adriatica Commerciale Macchine s.r.l. Via dell'Artigianato 5 35020 Due Carrare PD"</f>
        <v>Adriatica Commerciale Macchine s.r.l. Via dell'Artigianato 5 35020 Due Carrare PD</v>
      </c>
      <c r="O1785" t="str">
        <f>"Adriatica Commerciale Macchine s.r.l. Via dell'Artigianato 5 35020 Due Carrare PD"</f>
        <v>Adriatica Commerciale Macchine s.r.l. Via dell'Artigianato 5 35020 Due Carrare PD</v>
      </c>
      <c r="P1785" t="str">
        <f>"Z2E18BDDE2: [131.38€ ]"</f>
        <v>Z2E18BDDE2: [131.38€ ]</v>
      </c>
      <c r="Q1785" t="str">
        <f>""</f>
        <v/>
      </c>
      <c r="R1785" t="str">
        <f>""</f>
        <v/>
      </c>
      <c r="S1785" t="str">
        <f>""</f>
        <v/>
      </c>
      <c r="T1785" t="str">
        <f>"https://portaletrasparenza.consorziobacchiglione.it/dettagli/attodigara/187/manutenzione-e-riparazione-mezzo-con-targa-aka712.html"</f>
        <v>https://portaletrasparenza.consorziobacchiglione.it/dettagli/attodigara/187/manutenzione-e-riparazione-mezzo-con-targa-aka712.html</v>
      </c>
      <c r="U1785" t="str">
        <f>""</f>
        <v/>
      </c>
      <c r="V1785">
        <f>(SUBSTITUTE(Tabella1[[#This Row],[Importo di aggiudicazione]],".",","))-(SUBSTITUTE(  SUBSTITUTE(          SUBSTITUTE(Tabella1[[#This Row],[Dettaglio somme liquidate]],Tabella1[[#This Row],[CIG]]&amp;": [",""),"€ ]",""),".",","))</f>
        <v>9.9999999999909051E-3</v>
      </c>
    </row>
    <row r="1786" spans="1:22" x14ac:dyDescent="0.3">
      <c r="A1786" t="str">
        <f>"Affidamento"</f>
        <v>Affidamento</v>
      </c>
      <c r="B1786" t="str">
        <f>"Smontaggio completo più sabbiatura elettrovalvola ED 250 e ED 100 dell'Idrovora Cambroso e Marinelle."</f>
        <v>Smontaggio completo più sabbiatura elettrovalvola ED 250 e ED 100 dell'Idrovora Cambroso e Marinelle.</v>
      </c>
      <c r="C1786" t="str">
        <f>"ZD9192C0C6"</f>
        <v>ZD9192C0C6</v>
      </c>
      <c r="D1786" t="str">
        <f>"04/11/2021"</f>
        <v>04/11/2021</v>
      </c>
      <c r="E1786" t="str">
        <f>""</f>
        <v/>
      </c>
      <c r="F1786" t="str">
        <f>""</f>
        <v/>
      </c>
      <c r="G1786" t="str">
        <f>"4078.00"</f>
        <v>4078.00</v>
      </c>
      <c r="H1786" t="str">
        <f>"Consorzio di bonifica Bacchiglione"</f>
        <v>Consorzio di bonifica Bacchiglione</v>
      </c>
      <c r="I1786" t="str">
        <f>"92223390284"</f>
        <v>92223390284</v>
      </c>
      <c r="J1786" t="str">
        <f>"23-AFFIDAMENTO DIRETTO"</f>
        <v>23-AFFIDAMENTO DIRETTO</v>
      </c>
      <c r="K1786" t="str">
        <f>"29/03/2021"</f>
        <v>29/03/2021</v>
      </c>
      <c r="L1786" t="str">
        <f>"16/09/2021"</f>
        <v>16/09/2021</v>
      </c>
      <c r="M1786" t="str">
        <f>""</f>
        <v/>
      </c>
      <c r="N1786" t="str">
        <f>"Scarpa Sergio Elettromeccanica S.n.c. di Scarpa Paola E C. Via A. Vivaldi 7 35028 Piove di Sacco PD"</f>
        <v>Scarpa Sergio Elettromeccanica S.n.c. di Scarpa Paola E C. Via A. Vivaldi 7 35028 Piove di Sacco PD</v>
      </c>
      <c r="O1786" t="str">
        <f>"Scarpa Sergio Elettromeccanica S.n.c. di Scarpa Paola E C. Via A. Vivaldi 7 35028 Piove di Sacco PD"</f>
        <v>Scarpa Sergio Elettromeccanica S.n.c. di Scarpa Paola E C. Via A. Vivaldi 7 35028 Piove di Sacco PD</v>
      </c>
      <c r="P1786" t="str">
        <f>"ZD9192C0C6: [4078.00€ ]"</f>
        <v>ZD9192C0C6: [4078.00€ ]</v>
      </c>
      <c r="Q1786" t="str">
        <f>""</f>
        <v/>
      </c>
      <c r="R1786" t="str">
        <f>""</f>
        <v/>
      </c>
      <c r="S1786" t="str">
        <f>""</f>
        <v/>
      </c>
      <c r="T1786" t="str">
        <f>"https://portaletrasparenza.consorziobacchiglione.it/dettagli/attodigara/278/smontaggio-completo-piu-sabbiatura-elettrovalvola-ed-250-e-ed-100-dell-idrovora-cambroso-e-marinelle.html"</f>
        <v>https://portaletrasparenza.consorziobacchiglione.it/dettagli/attodigara/278/smontaggio-completo-piu-sabbiatura-elettrovalvola-ed-250-e-ed-100-dell-idrovora-cambroso-e-marinelle.html</v>
      </c>
      <c r="U1786" t="str">
        <f>""</f>
        <v/>
      </c>
      <c r="V178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87" spans="1:22" x14ac:dyDescent="0.3">
      <c r="A1787" t="str">
        <f>"Affidamento"</f>
        <v>Affidamento</v>
      </c>
      <c r="B1787" t="str">
        <f>"Pulizia vasca biologica grande sede Consorziale."</f>
        <v>Pulizia vasca biologica grande sede Consorziale.</v>
      </c>
      <c r="C1787" t="str">
        <f>"Z0E192BD0B"</f>
        <v>Z0E192BD0B</v>
      </c>
      <c r="D1787" t="str">
        <f>"04/11/2021"</f>
        <v>04/11/2021</v>
      </c>
      <c r="E1787" t="str">
        <f>""</f>
        <v/>
      </c>
      <c r="F1787" t="str">
        <f>""</f>
        <v/>
      </c>
      <c r="G1787" t="str">
        <f>"600.00"</f>
        <v>600.00</v>
      </c>
      <c r="H1787" t="str">
        <f>"Consorzio di bonifica Bacchiglione"</f>
        <v>Consorzio di bonifica Bacchiglione</v>
      </c>
      <c r="I1787" t="str">
        <f>"92223390284"</f>
        <v>92223390284</v>
      </c>
      <c r="J1787" t="str">
        <f>"23-AFFIDAMENTO DIRETTO"</f>
        <v>23-AFFIDAMENTO DIRETTO</v>
      </c>
      <c r="K1787" t="str">
        <f>"29/03/2021"</f>
        <v>29/03/2021</v>
      </c>
      <c r="L1787" t="str">
        <f>"03/05/2021"</f>
        <v>03/05/2021</v>
      </c>
      <c r="M1787" t="str">
        <f>""</f>
        <v/>
      </c>
      <c r="N1787" t="str">
        <f>"Mietto Gaetano Espurghi s.r.l. Via Vigonovese 88 35020 Saonara PD"</f>
        <v>Mietto Gaetano Espurghi s.r.l. Via Vigonovese 88 35020 Saonara PD</v>
      </c>
      <c r="O1787" t="str">
        <f>"Mietto Gaetano Espurghi s.r.l. Via Vigonovese 88 35020 Saonara PD"</f>
        <v>Mietto Gaetano Espurghi s.r.l. Via Vigonovese 88 35020 Saonara PD</v>
      </c>
      <c r="P1787" t="str">
        <f>"Z0E192BD0B: [540.98€ ]"</f>
        <v>Z0E192BD0B: [540.98€ ]</v>
      </c>
      <c r="Q1787" t="str">
        <f>""</f>
        <v/>
      </c>
      <c r="R1787" t="str">
        <f>""</f>
        <v/>
      </c>
      <c r="S1787" t="str">
        <f>""</f>
        <v/>
      </c>
      <c r="T1787" t="str">
        <f>"https://portaletrasparenza.consorziobacchiglione.it/dettagli/attodigara/277/pulizia-vasca-biologica-grande-sede-consorziale.html"</f>
        <v>https://portaletrasparenza.consorziobacchiglione.it/dettagli/attodigara/277/pulizia-vasca-biologica-grande-sede-consorziale.html</v>
      </c>
      <c r="U1787" t="str">
        <f>""</f>
        <v/>
      </c>
      <c r="V1787">
        <f>(SUBSTITUTE(Tabella1[[#This Row],[Importo di aggiudicazione]],".",","))-(SUBSTITUTE(  SUBSTITUTE(          SUBSTITUTE(Tabella1[[#This Row],[Dettaglio somme liquidate]],Tabella1[[#This Row],[CIG]]&amp;": [",""),"€ ]",""),".",","))</f>
        <v>59.019999999999982</v>
      </c>
    </row>
    <row r="1788" spans="1:22" x14ac:dyDescent="0.3">
      <c r="A1788" t="str">
        <f>"Affidamento"</f>
        <v>Affidamento</v>
      </c>
      <c r="B1788" t="str">
        <f>"Manutenzione e riparazione mezzi con targa : AKA712, AGK711."</f>
        <v>Manutenzione e riparazione mezzi con targa : AKA712, AGK711.</v>
      </c>
      <c r="C1788" t="str">
        <f>"Z44192B607"</f>
        <v>Z44192B607</v>
      </c>
      <c r="D1788" t="str">
        <f>"04/11/2021"</f>
        <v>04/11/2021</v>
      </c>
      <c r="E1788" t="str">
        <f>""</f>
        <v/>
      </c>
      <c r="F1788" t="str">
        <f>""</f>
        <v/>
      </c>
      <c r="G1788" t="str">
        <f>"3728.51"</f>
        <v>3728.51</v>
      </c>
      <c r="H1788" t="str">
        <f>"Consorzio di bonifica Bacchiglione"</f>
        <v>Consorzio di bonifica Bacchiglione</v>
      </c>
      <c r="I1788" t="str">
        <f>"92223390284"</f>
        <v>92223390284</v>
      </c>
      <c r="J1788" t="str">
        <f>"23-AFFIDAMENTO DIRETTO"</f>
        <v>23-AFFIDAMENTO DIRETTO</v>
      </c>
      <c r="K1788" t="str">
        <f>"29/03/2021"</f>
        <v>29/03/2021</v>
      </c>
      <c r="L1788" t="str">
        <f>"31/12/2021"</f>
        <v>31/12/2021</v>
      </c>
      <c r="M1788" t="str">
        <f>""</f>
        <v/>
      </c>
      <c r="N1788" t="str">
        <f>"Adriatica Commerciale Macchine s.r.l. Via dell'Artigianato 5 35020 Due Carrare PD"</f>
        <v>Adriatica Commerciale Macchine s.r.l. Via dell'Artigianato 5 35020 Due Carrare PD</v>
      </c>
      <c r="O1788" t="str">
        <f>"Adriatica Commerciale Macchine s.r.l. Via dell'Artigianato 5 35020 Due Carrare PD"</f>
        <v>Adriatica Commerciale Macchine s.r.l. Via dell'Artigianato 5 35020 Due Carrare PD</v>
      </c>
      <c r="P1788" t="str">
        <f>"Z44192B607: [3424.50€ ]"</f>
        <v>Z44192B607: [3424.50€ ]</v>
      </c>
      <c r="Q1788" t="str">
        <f>""</f>
        <v/>
      </c>
      <c r="R1788" t="str">
        <f>""</f>
        <v/>
      </c>
      <c r="S1788" t="str">
        <f>""</f>
        <v/>
      </c>
      <c r="T1788" t="str">
        <f>"https://portaletrasparenza.consorziobacchiglione.it/dettagli/attodigara/276/manutenzione-e-riparazione-mezzi-con-targa-aka712-agk711.html"</f>
        <v>https://portaletrasparenza.consorziobacchiglione.it/dettagli/attodigara/276/manutenzione-e-riparazione-mezzi-con-targa-aka712-agk711.html</v>
      </c>
      <c r="U1788" t="str">
        <f>""</f>
        <v/>
      </c>
      <c r="V1788">
        <f>(SUBSTITUTE(Tabella1[[#This Row],[Importo di aggiudicazione]],".",","))-(SUBSTITUTE(  SUBSTITUTE(          SUBSTITUTE(Tabella1[[#This Row],[Dettaglio somme liquidate]],Tabella1[[#This Row],[CIG]]&amp;": [",""),"€ ]",""),".",","))</f>
        <v>304.01000000000022</v>
      </c>
    </row>
    <row r="1789" spans="1:22" x14ac:dyDescent="0.3">
      <c r="A1789" t="str">
        <f>"Affidamento"</f>
        <v>Affidamento</v>
      </c>
      <c r="B1789" t="str">
        <f>"Fornitura ed installazione nuova caldaia presso sede Consorziale"</f>
        <v>Fornitura ed installazione nuova caldaia presso sede Consorziale</v>
      </c>
      <c r="C1789" t="str">
        <f>"Z73312BE88"</f>
        <v>Z73312BE88</v>
      </c>
      <c r="D1789" t="str">
        <f>"29/03/2021"</f>
        <v>29/03/2021</v>
      </c>
      <c r="E1789" t="str">
        <f>""</f>
        <v/>
      </c>
      <c r="F1789" t="str">
        <f>""</f>
        <v/>
      </c>
      <c r="G1789" t="str">
        <f>"19145.00"</f>
        <v>19145.00</v>
      </c>
      <c r="H1789" t="str">
        <f>"Consorzio di bonifica Bacchiglione"</f>
        <v>Consorzio di bonifica Bacchiglione</v>
      </c>
      <c r="I1789" t="str">
        <f>"92223390284"</f>
        <v>92223390284</v>
      </c>
      <c r="J1789" t="str">
        <f>"23-AFFIDAMENTO DIRETTO"</f>
        <v>23-AFFIDAMENTO DIRETTO</v>
      </c>
      <c r="K1789" t="str">
        <f>"29/03/2021"</f>
        <v>29/03/2021</v>
      </c>
      <c r="L1789" t="str">
        <f>"08/11/2021"</f>
        <v>08/11/2021</v>
      </c>
      <c r="M1789" t="str">
        <f>""</f>
        <v/>
      </c>
      <c r="N1789" t="str">
        <f>"Giraldo Impianti SNC di Giraldo Danilo e Silvio Via Flli Cervi 1-II 30010 Campolongo Maggiore VE"</f>
        <v>Giraldo Impianti SNC di Giraldo Danilo e Silvio Via Flli Cervi 1-II 30010 Campolongo Maggiore VE</v>
      </c>
      <c r="O1789" t="str">
        <f>"Giraldo Impianti SNC di Giraldo Danilo e Silvio Via Flli Cervi 1-II 30010 Campolongo Maggiore VE"</f>
        <v>Giraldo Impianti SNC di Giraldo Danilo e Silvio Via Flli Cervi 1-II 30010 Campolongo Maggiore VE</v>
      </c>
      <c r="P1789" t="s">
        <v>149</v>
      </c>
      <c r="Q1789" t="str">
        <f>""</f>
        <v/>
      </c>
      <c r="R1789" t="str">
        <f>""</f>
        <v/>
      </c>
      <c r="S1789" t="str">
        <f>""</f>
        <v/>
      </c>
      <c r="T1789" t="str">
        <f>"https://portaletrasparenza.consorziobacchiglione.it/dettagli/attodigara/6746/fornitura-ed-installazione-nuova-caldaia-presso-sede-consorziale.html"</f>
        <v>https://portaletrasparenza.consorziobacchiglione.it/dettagli/attodigara/6746/fornitura-ed-installazione-nuova-caldaia-presso-sede-consorziale.html</v>
      </c>
      <c r="U1789" t="str">
        <f>"https://portaletrasparenza.consorziobacchiglione.it/download/attodigara/6746/63ac457411cba.PDF"</f>
        <v>https://portaletrasparenza.consorziobacchiglione.it/download/attodigara/6746/63ac457411cba.PDF</v>
      </c>
      <c r="V178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90" spans="1:22" x14ac:dyDescent="0.3">
      <c r="A1790" t="str">
        <f>"Affidamento"</f>
        <v>Affidamento</v>
      </c>
      <c r="B1790" t="str">
        <f>"Fornitura ricambi per decespugliatori presso Bacino Sesta Presa"</f>
        <v>Fornitura ricambi per decespugliatori presso Bacino Sesta Presa</v>
      </c>
      <c r="C1790" t="str">
        <f>"Z24312B210"</f>
        <v>Z24312B210</v>
      </c>
      <c r="D1790" t="str">
        <f>"29/03/2021"</f>
        <v>29/03/2021</v>
      </c>
      <c r="E1790" t="str">
        <f>""</f>
        <v/>
      </c>
      <c r="F1790" t="str">
        <f>""</f>
        <v/>
      </c>
      <c r="G1790" t="str">
        <f>"118.85"</f>
        <v>118.85</v>
      </c>
      <c r="H1790" t="str">
        <f>"Consorzio di bonifica Bacchiglione"</f>
        <v>Consorzio di bonifica Bacchiglione</v>
      </c>
      <c r="I1790" t="str">
        <f>"92223390284"</f>
        <v>92223390284</v>
      </c>
      <c r="J1790" t="str">
        <f>"23-AFFIDAMENTO DIRETTO"</f>
        <v>23-AFFIDAMENTO DIRETTO</v>
      </c>
      <c r="K1790" t="str">
        <f>"29/03/2021"</f>
        <v>29/03/2021</v>
      </c>
      <c r="L1790" t="str">
        <f>"02/04/2021"</f>
        <v>02/04/2021</v>
      </c>
      <c r="M1790" t="str">
        <f>""</f>
        <v/>
      </c>
      <c r="N1790" t="str">
        <f>"Mini Motor di Vettorato Gabriele Via Puccini 3 35020 Brugine PD"</f>
        <v>Mini Motor di Vettorato Gabriele Via Puccini 3 35020 Brugine PD</v>
      </c>
      <c r="O1790" t="str">
        <f>"Mini Motor di Vettorato Gabriele Via Puccini 3 35020 Brugine PD"</f>
        <v>Mini Motor di Vettorato Gabriele Via Puccini 3 35020 Brugine PD</v>
      </c>
      <c r="P1790" t="str">
        <f>"Z24312B210: [118.85€ ]"</f>
        <v>Z24312B210: [118.85€ ]</v>
      </c>
      <c r="Q1790" t="str">
        <f>""</f>
        <v/>
      </c>
      <c r="R1790" t="str">
        <f>""</f>
        <v/>
      </c>
      <c r="S1790" t="str">
        <f>""</f>
        <v/>
      </c>
      <c r="T1790" t="str">
        <f>"https://portaletrasparenza.consorziobacchiglione.it/dettagli/attodigara/6745/fornitura-ricambi-per-decespugliatori-presso-bacino-sesta-presa.html"</f>
        <v>https://portaletrasparenza.consorziobacchiglione.it/dettagli/attodigara/6745/fornitura-ricambi-per-decespugliatori-presso-bacino-sesta-presa.html</v>
      </c>
      <c r="U1790" t="str">
        <f>"https://portaletrasparenza.consorziobacchiglione.it/download/attodigara/6745/63ac4573cd656.PDF"</f>
        <v>https://portaletrasparenza.consorziobacchiglione.it/download/attodigara/6745/63ac4573cd656.PDF</v>
      </c>
      <c r="V17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91" spans="1:22" x14ac:dyDescent="0.3">
      <c r="A1791" t="str">
        <f>"Affidamento"</f>
        <v>Affidamento</v>
      </c>
      <c r="B1791" t="str">
        <f>"Ripresa spondale in destra Idraulica dello scolo Orsaro, lungo Via Napoli, in comune di Ponte San Nicolò (PD)"</f>
        <v>Ripresa spondale in destra Idraulica dello scolo Orsaro, lungo Via Napoli, in comune di Ponte San Nicolò (PD)</v>
      </c>
      <c r="C1791" t="str">
        <f>"ZA5312AAAC"</f>
        <v>ZA5312AAAC</v>
      </c>
      <c r="D1791" t="str">
        <f>"29/03/2021"</f>
        <v>29/03/2021</v>
      </c>
      <c r="E1791" t="str">
        <f>""</f>
        <v/>
      </c>
      <c r="F1791" t="str">
        <f>""</f>
        <v/>
      </c>
      <c r="G1791" t="str">
        <f>"6986.99"</f>
        <v>6986.99</v>
      </c>
      <c r="H1791" t="str">
        <f>"Consorzio di bonifica Bacchiglione"</f>
        <v>Consorzio di bonifica Bacchiglione</v>
      </c>
      <c r="I1791" t="str">
        <f>"92223390284"</f>
        <v>92223390284</v>
      </c>
      <c r="J1791" t="str">
        <f>"23-AFFIDAMENTO DIRETTO"</f>
        <v>23-AFFIDAMENTO DIRETTO</v>
      </c>
      <c r="K1791" t="str">
        <f>"29/03/2021"</f>
        <v>29/03/2021</v>
      </c>
      <c r="L1791" t="str">
        <f>"31/03/2021"</f>
        <v>31/03/2021</v>
      </c>
      <c r="M1791" t="str">
        <f>""</f>
        <v/>
      </c>
      <c r="N1791" t="str">
        <f>"L.R.Scavi Srl Via Germania 16 int.3 35010 Vigonza (PD)"</f>
        <v>L.R.Scavi Srl Via Germania 16 int.3 35010 Vigonza (PD)</v>
      </c>
      <c r="O1791" t="str">
        <f>"L.R.Scavi Srl Via Germania 16 int.3 35010 Vigonza (PD)"</f>
        <v>L.R.Scavi Srl Via Germania 16 int.3 35010 Vigonza (PD)</v>
      </c>
      <c r="P1791" t="str">
        <f>"ZA5312AAAC: [6986.99€ ]"</f>
        <v>ZA5312AAAC: [6986.99€ ]</v>
      </c>
      <c r="Q1791" t="str">
        <f>""</f>
        <v/>
      </c>
      <c r="R1791" t="str">
        <f>""</f>
        <v/>
      </c>
      <c r="S1791" t="str">
        <f>""</f>
        <v/>
      </c>
      <c r="T1791" t="str">
        <f>"https://portaletrasparenza.consorziobacchiglione.it/dettagli/attodigara/6743/ripresa-spondale-in-destra-idraulica-dello-scolo-orsaro-lungo-via-napoli-in-comune-di-ponte-san-nicolo-pd.html"</f>
        <v>https://portaletrasparenza.consorziobacchiglione.it/dettagli/attodigara/6743/ripresa-spondale-in-destra-idraulica-dello-scolo-orsaro-lungo-via-napoli-in-comune-di-ponte-san-nicolo-pd.html</v>
      </c>
      <c r="U1791" t="str">
        <f>"https://portaletrasparenza.consorziobacchiglione.it/download/attodigara/6743/63ac457394d3f.PDF"</f>
        <v>https://portaletrasparenza.consorziobacchiglione.it/download/attodigara/6743/63ac457394d3f.PDF</v>
      </c>
      <c r="V17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92" spans="1:22" x14ac:dyDescent="0.3">
      <c r="A1792" t="str">
        <f>"Affidamento"</f>
        <v>Affidamento</v>
      </c>
      <c r="B1792" t="str">
        <f>"Fornitura MC 1 di calcestruzzo RCK 250 S4 per lavori presso scolo Cavaizza di Codevigo Sud più fornitura MC 6 di calcestruzzo RCK 300 S4 per lavori presso Roggia Montalbano"</f>
        <v>Fornitura MC 1 di calcestruzzo RCK 250 S4 per lavori presso scolo Cavaizza di Codevigo Sud più fornitura MC 6 di calcestruzzo RCK 300 S4 per lavori presso Roggia Montalbano</v>
      </c>
      <c r="C1792" t="str">
        <f>"ZD5312ACD3"</f>
        <v>ZD5312ACD3</v>
      </c>
      <c r="D1792" t="str">
        <f>"29/03/2021"</f>
        <v>29/03/2021</v>
      </c>
      <c r="E1792" t="str">
        <f>""</f>
        <v/>
      </c>
      <c r="F1792" t="str">
        <f>""</f>
        <v/>
      </c>
      <c r="G1792" t="str">
        <f>"603.50"</f>
        <v>603.50</v>
      </c>
      <c r="H1792" t="str">
        <f>"Consorzio di bonifica Bacchiglione"</f>
        <v>Consorzio di bonifica Bacchiglione</v>
      </c>
      <c r="I1792" t="str">
        <f>"92223390284"</f>
        <v>92223390284</v>
      </c>
      <c r="J1792" t="str">
        <f>"23-AFFIDAMENTO DIRETTO"</f>
        <v>23-AFFIDAMENTO DIRETTO</v>
      </c>
      <c r="K1792" t="str">
        <f>"29/03/2021"</f>
        <v>29/03/2021</v>
      </c>
      <c r="L1792" t="str">
        <f>"31/03/2021"</f>
        <v>31/03/2021</v>
      </c>
      <c r="M1792" t="str">
        <f>""</f>
        <v/>
      </c>
      <c r="N1792" t="str">
        <f>"Zagolin Giovanni s.r.l. Via Gelsi 56 35028 Piove di Sacco PD"</f>
        <v>Zagolin Giovanni s.r.l. Via Gelsi 56 35028 Piove di Sacco PD</v>
      </c>
      <c r="O1792" t="str">
        <f>"Zagolin Giovanni s.r.l. Via Gelsi 56 35028 Piove di Sacco PD"</f>
        <v>Zagolin Giovanni s.r.l. Via Gelsi 56 35028 Piove di Sacco PD</v>
      </c>
      <c r="P1792" t="str">
        <f>"ZD5312ACD3: [0.00€ ]"</f>
        <v>ZD5312ACD3: [0.00€ ]</v>
      </c>
      <c r="Q1792" t="str">
        <f>""</f>
        <v/>
      </c>
      <c r="R1792" t="str">
        <f>""</f>
        <v/>
      </c>
      <c r="S1792" t="str">
        <f>""</f>
        <v/>
      </c>
      <c r="T1792" t="str">
        <f>"https://portaletrasparenza.consorziobacchiglione.it/dettagli/attodigara/6744/fornitura-mc-1-di-calcestruzzo-rck-250-s4-per-lavori-presso-scolo-cavaizza-di-codevigo-sud-piu-fornitura-mc-6-di-calcestruzzo-rck-300-s4-per-lavori-presso-roggia-montalbano.html"</f>
        <v>https://portaletrasparenza.consorziobacchiglione.it/dettagli/attodigara/6744/fornitura-mc-1-di-calcestruzzo-rck-250-s4-per-lavori-presso-scolo-cavaizza-di-codevigo-sud-piu-fornitura-mc-6-di-calcestruzzo-rck-300-s4-per-lavori-presso-roggia-montalbano.html</v>
      </c>
      <c r="U1792" t="str">
        <f>"https://portaletrasparenza.consorziobacchiglione.it/download/attodigara/6744/62a209b572369.PDF"</f>
        <v>https://portaletrasparenza.consorziobacchiglione.it/download/attodigara/6744/62a209b572369.PDF</v>
      </c>
      <c r="V1792">
        <f>(SUBSTITUTE(Tabella1[[#This Row],[Importo di aggiudicazione]],".",","))-(SUBSTITUTE(  SUBSTITUTE(          SUBSTITUTE(Tabella1[[#This Row],[Dettaglio somme liquidate]],Tabella1[[#This Row],[CIG]]&amp;": [",""),"€ ]",""),".",","))</f>
        <v>603.5</v>
      </c>
    </row>
    <row r="1793" spans="1:22" x14ac:dyDescent="0.3">
      <c r="A1793" t="str">
        <f>"Affidamento"</f>
        <v>Affidamento</v>
      </c>
      <c r="B1793" t="str">
        <f>"Fornitura materiale edile per scolo Menona e sostegno Zip."</f>
        <v>Fornitura materiale edile per scolo Menona e sostegno Zip.</v>
      </c>
      <c r="C1793" t="str">
        <f>"ZEA19A6E4B"</f>
        <v>ZEA19A6E4B</v>
      </c>
      <c r="D1793" t="str">
        <f>"04/11/2021"</f>
        <v>04/11/2021</v>
      </c>
      <c r="E1793" t="str">
        <f>""</f>
        <v/>
      </c>
      <c r="F1793" t="str">
        <f>""</f>
        <v/>
      </c>
      <c r="G1793" t="str">
        <f>"2723.56"</f>
        <v>2723.56</v>
      </c>
      <c r="H1793" t="str">
        <f>"Consorzio di bonifica Bacchiglione"</f>
        <v>Consorzio di bonifica Bacchiglione</v>
      </c>
      <c r="I1793" t="str">
        <f>"92223390284"</f>
        <v>92223390284</v>
      </c>
      <c r="J1793" t="str">
        <f>"23-AFFIDAMENTO DIRETTO"</f>
        <v>23-AFFIDAMENTO DIRETTO</v>
      </c>
      <c r="K1793" t="str">
        <f>"29/04/2021"</f>
        <v>29/04/2021</v>
      </c>
      <c r="L1793" t="str">
        <f>"30/06/2021"</f>
        <v>30/06/2021</v>
      </c>
      <c r="M1793" t="str">
        <f>""</f>
        <v/>
      </c>
      <c r="N1793" t="str">
        <f>"Idronord s.r.l. Via delle Industrie 3C 30036 Santa Maria Di Sala VE"</f>
        <v>Idronord s.r.l. Via delle Industrie 3C 30036 Santa Maria Di Sala VE</v>
      </c>
      <c r="O1793" t="str">
        <f>"Idronord s.r.l. Via delle Industrie 3C 30036 Santa Maria Di Sala VE"</f>
        <v>Idronord s.r.l. Via delle Industrie 3C 30036 Santa Maria Di Sala VE</v>
      </c>
      <c r="P1793" t="str">
        <f>"ZEA19A6E4B: [2723.56€ ]"</f>
        <v>ZEA19A6E4B: [2723.56€ ]</v>
      </c>
      <c r="Q1793" t="str">
        <f>""</f>
        <v/>
      </c>
      <c r="R1793" t="str">
        <f>""</f>
        <v/>
      </c>
      <c r="S1793" t="str">
        <f>""</f>
        <v/>
      </c>
      <c r="T1793" t="str">
        <f>"https://portaletrasparenza.consorziobacchiglione.it/dettagli/attodigara/378/fornitura-materiale-edile-per-scolo-menona-e-sostegno-zip.html"</f>
        <v>https://portaletrasparenza.consorziobacchiglione.it/dettagli/attodigara/378/fornitura-materiale-edile-per-scolo-menona-e-sostegno-zip.html</v>
      </c>
      <c r="U1793" t="str">
        <f>""</f>
        <v/>
      </c>
      <c r="V17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94" spans="1:22" x14ac:dyDescent="0.3">
      <c r="A1794" t="str">
        <f>"Affidamento"</f>
        <v>Affidamento</v>
      </c>
      <c r="B1794" t="str">
        <f>"Manutenzione Idrovora di Treponti."</f>
        <v>Manutenzione Idrovora di Treponti.</v>
      </c>
      <c r="C1794" t="str">
        <f>"ZA619A6CA2"</f>
        <v>ZA619A6CA2</v>
      </c>
      <c r="D1794" t="str">
        <f>"04/11/2021"</f>
        <v>04/11/2021</v>
      </c>
      <c r="E1794" t="str">
        <f>""</f>
        <v/>
      </c>
      <c r="F1794" t="str">
        <f>""</f>
        <v/>
      </c>
      <c r="G1794" t="str">
        <f>"360.00"</f>
        <v>360.00</v>
      </c>
      <c r="H1794" t="str">
        <f>"Consorzio di bonifica Bacchiglione"</f>
        <v>Consorzio di bonifica Bacchiglione</v>
      </c>
      <c r="I1794" t="str">
        <f>"92223390284"</f>
        <v>92223390284</v>
      </c>
      <c r="J1794" t="str">
        <f>"23-AFFIDAMENTO DIRETTO"</f>
        <v>23-AFFIDAMENTO DIRETTO</v>
      </c>
      <c r="K1794" t="str">
        <f>"29/04/2021"</f>
        <v>29/04/2021</v>
      </c>
      <c r="L1794" t="str">
        <f>"30/06/2021"</f>
        <v>30/06/2021</v>
      </c>
      <c r="M1794" t="str">
        <f>""</f>
        <v/>
      </c>
      <c r="N1794" t="str">
        <f>"Xylem Water Solutions Italia S.r.l. Via Gioacchino Rossini 1A 20020 Lainate MI"</f>
        <v>Xylem Water Solutions Italia S.r.l. Via Gioacchino Rossini 1A 20020 Lainate MI</v>
      </c>
      <c r="O1794" t="str">
        <f>"Xylem Water Solutions Italia S.r.l. Via Gioacchino Rossini 1A 20020 Lainate MI"</f>
        <v>Xylem Water Solutions Italia S.r.l. Via Gioacchino Rossini 1A 20020 Lainate MI</v>
      </c>
      <c r="P1794" t="str">
        <f>"ZA619A6CA2: [360.00€ ]"</f>
        <v>ZA619A6CA2: [360.00€ ]</v>
      </c>
      <c r="Q1794" t="str">
        <f>""</f>
        <v/>
      </c>
      <c r="R1794" t="str">
        <f>""</f>
        <v/>
      </c>
      <c r="S1794" t="str">
        <f>""</f>
        <v/>
      </c>
      <c r="T1794" t="str">
        <f>"https://portaletrasparenza.consorziobacchiglione.it/dettagli/attodigara/377/manutenzione-idrovora-di-treponti.html"</f>
        <v>https://portaletrasparenza.consorziobacchiglione.it/dettagli/attodigara/377/manutenzione-idrovora-di-treponti.html</v>
      </c>
      <c r="U1794" t="str">
        <f>""</f>
        <v/>
      </c>
      <c r="V179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95" spans="1:22" x14ac:dyDescent="0.3">
      <c r="A1795" t="str">
        <f>"Affidamento"</f>
        <v>Affidamento</v>
      </c>
      <c r="B1795" t="str">
        <f>"Fornitura calcestruzzo RCK 350 S4 per scolina di Gronda Trezze Nord."</f>
        <v>Fornitura calcestruzzo RCK 350 S4 per scolina di Gronda Trezze Nord.</v>
      </c>
      <c r="C1795" t="str">
        <f>"ZAE19A6BD9"</f>
        <v>ZAE19A6BD9</v>
      </c>
      <c r="D1795" t="str">
        <f>"04/11/2021"</f>
        <v>04/11/2021</v>
      </c>
      <c r="E1795" t="str">
        <f>""</f>
        <v/>
      </c>
      <c r="F1795" t="str">
        <f>""</f>
        <v/>
      </c>
      <c r="G1795" t="str">
        <f>"514.50"</f>
        <v>514.50</v>
      </c>
      <c r="H1795" t="str">
        <f>"Consorzio di bonifica Bacchiglione"</f>
        <v>Consorzio di bonifica Bacchiglione</v>
      </c>
      <c r="I1795" t="str">
        <f>"92223390284"</f>
        <v>92223390284</v>
      </c>
      <c r="J1795" t="str">
        <f>"23-AFFIDAMENTO DIRETTO"</f>
        <v>23-AFFIDAMENTO DIRETTO</v>
      </c>
      <c r="K1795" t="str">
        <f>"29/04/2021"</f>
        <v>29/04/2021</v>
      </c>
      <c r="L1795" t="str">
        <f>"26/05/2021"</f>
        <v>26/05/2021</v>
      </c>
      <c r="M1795" t="str">
        <f>""</f>
        <v/>
      </c>
      <c r="N1795" t="str">
        <f>"Zagolin Giovanni s.r.l. Via Gelsi 56 35028 Piove di Sacco PD"</f>
        <v>Zagolin Giovanni s.r.l. Via Gelsi 56 35028 Piove di Sacco PD</v>
      </c>
      <c r="O1795" t="str">
        <f>"Zagolin Giovanni s.r.l. Via Gelsi 56 35028 Piove di Sacco PD"</f>
        <v>Zagolin Giovanni s.r.l. Via Gelsi 56 35028 Piove di Sacco PD</v>
      </c>
      <c r="P1795" t="str">
        <f>"ZAE19A6BD9: [514.50€ ]"</f>
        <v>ZAE19A6BD9: [514.50€ ]</v>
      </c>
      <c r="Q1795" t="str">
        <f>""</f>
        <v/>
      </c>
      <c r="R1795" t="str">
        <f>""</f>
        <v/>
      </c>
      <c r="S1795" t="str">
        <f>""</f>
        <v/>
      </c>
      <c r="T1795" t="str">
        <f>"https://portaletrasparenza.consorziobacchiglione.it/dettagli/attodigara/376/fornitura-calcestruzzo-rck-350-s4-per-scolina-di-gronda-trezze-nord.html"</f>
        <v>https://portaletrasparenza.consorziobacchiglione.it/dettagli/attodigara/376/fornitura-calcestruzzo-rck-350-s4-per-scolina-di-gronda-trezze-nord.html</v>
      </c>
      <c r="U1795" t="str">
        <f>""</f>
        <v/>
      </c>
      <c r="V179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96" spans="1:22" x14ac:dyDescent="0.3">
      <c r="A1796" t="str">
        <f>"Affidamento"</f>
        <v>Affidamento</v>
      </c>
      <c r="B1796" t="str">
        <f>"Fornitura pezzi di ricambio per lavasciuga Wirbel C.O.S.Margherita."</f>
        <v>Fornitura pezzi di ricambio per lavasciuga Wirbel C.O.S.Margherita.</v>
      </c>
      <c r="C1796" t="str">
        <f>"Z6A19A6A30"</f>
        <v>Z6A19A6A30</v>
      </c>
      <c r="D1796" t="str">
        <f>"04/11/2021"</f>
        <v>04/11/2021</v>
      </c>
      <c r="E1796" t="str">
        <f>""</f>
        <v/>
      </c>
      <c r="F1796" t="str">
        <f>""</f>
        <v/>
      </c>
      <c r="G1796" t="str">
        <f>"262.50"</f>
        <v>262.50</v>
      </c>
      <c r="H1796" t="str">
        <f>"Consorzio di bonifica Bacchiglione"</f>
        <v>Consorzio di bonifica Bacchiglione</v>
      </c>
      <c r="I1796" t="str">
        <f>"92223390284"</f>
        <v>92223390284</v>
      </c>
      <c r="J1796" t="str">
        <f>"23-AFFIDAMENTO DIRETTO"</f>
        <v>23-AFFIDAMENTO DIRETTO</v>
      </c>
      <c r="K1796" t="str">
        <f>"29/04/2021"</f>
        <v>29/04/2021</v>
      </c>
      <c r="L1796" t="str">
        <f>"30/06/2021"</f>
        <v>30/06/2021</v>
      </c>
      <c r="M1796" t="str">
        <f>""</f>
        <v/>
      </c>
      <c r="N1796" t="str">
        <f>"Scarpa Sergio Elettromeccanica S.n.c. di Scarpa Paola E C. Via A. Vivaldi 7 35028 Piove di Sacco PD"</f>
        <v>Scarpa Sergio Elettromeccanica S.n.c. di Scarpa Paola E C. Via A. Vivaldi 7 35028 Piove di Sacco PD</v>
      </c>
      <c r="O1796" t="str">
        <f>"Scarpa Sergio Elettromeccanica S.n.c. di Scarpa Paola E C. Via A. Vivaldi 7 35028 Piove di Sacco PD"</f>
        <v>Scarpa Sergio Elettromeccanica S.n.c. di Scarpa Paola E C. Via A. Vivaldi 7 35028 Piove di Sacco PD</v>
      </c>
      <c r="P1796" t="str">
        <f>"Z6A19A6A30: [262.50€ ]"</f>
        <v>Z6A19A6A30: [262.50€ ]</v>
      </c>
      <c r="Q1796" t="str">
        <f>""</f>
        <v/>
      </c>
      <c r="R1796" t="str">
        <f>""</f>
        <v/>
      </c>
      <c r="S1796" t="str">
        <f>""</f>
        <v/>
      </c>
      <c r="T1796" t="str">
        <f>"https://portaletrasparenza.consorziobacchiglione.it/dettagli/attodigara/375/fornitura-pezzi-di-ricambio-per-lavasciuga-wirbel-c-o-s-margherita.html"</f>
        <v>https://portaletrasparenza.consorziobacchiglione.it/dettagli/attodigara/375/fornitura-pezzi-di-ricambio-per-lavasciuga-wirbel-c-o-s-margherita.html</v>
      </c>
      <c r="U1796" t="str">
        <f>""</f>
        <v/>
      </c>
      <c r="V179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97" spans="1:22" x14ac:dyDescent="0.3">
      <c r="A1797" t="str">
        <f>"Affidamento"</f>
        <v>Affidamento</v>
      </c>
      <c r="B1797" t="str">
        <f>"Fornitura sasso trachitico per scolo Palù."</f>
        <v>Fornitura sasso trachitico per scolo Palù.</v>
      </c>
      <c r="C1797" t="str">
        <f>"Z6019A648D"</f>
        <v>Z6019A648D</v>
      </c>
      <c r="D1797" t="str">
        <f>"04/11/2021"</f>
        <v>04/11/2021</v>
      </c>
      <c r="E1797" t="str">
        <f>""</f>
        <v/>
      </c>
      <c r="F1797" t="str">
        <f>""</f>
        <v/>
      </c>
      <c r="G1797" t="str">
        <f>"3565.00"</f>
        <v>3565.00</v>
      </c>
      <c r="H1797" t="str">
        <f>"Consorzio di bonifica Bacchiglione"</f>
        <v>Consorzio di bonifica Bacchiglione</v>
      </c>
      <c r="I1797" t="str">
        <f>"92223390284"</f>
        <v>92223390284</v>
      </c>
      <c r="J1797" t="str">
        <f>"23-AFFIDAMENTO DIRETTO"</f>
        <v>23-AFFIDAMENTO DIRETTO</v>
      </c>
      <c r="K1797" t="str">
        <f>"29/04/2021"</f>
        <v>29/04/2021</v>
      </c>
      <c r="L1797" t="str">
        <f>"30/05/2021"</f>
        <v>30/05/2021</v>
      </c>
      <c r="M1797" t="str">
        <f>""</f>
        <v/>
      </c>
      <c r="N1797" t="str">
        <f>"Martini Luciano s.r.l. Via Bagnara Alta 1172 35030 VO PD"</f>
        <v>Martini Luciano s.r.l. Via Bagnara Alta 1172 35030 VO PD</v>
      </c>
      <c r="O1797" t="str">
        <f>"Martini Luciano s.r.l. Via Bagnara Alta 1172 35030 VO PD"</f>
        <v>Martini Luciano s.r.l. Via Bagnara Alta 1172 35030 VO PD</v>
      </c>
      <c r="P1797" t="str">
        <f>"Z6019A648D: [3565.00€ ]"</f>
        <v>Z6019A648D: [3565.00€ ]</v>
      </c>
      <c r="Q1797" t="str">
        <f>""</f>
        <v/>
      </c>
      <c r="R1797" t="str">
        <f>""</f>
        <v/>
      </c>
      <c r="S1797" t="str">
        <f>""</f>
        <v/>
      </c>
      <c r="T1797" t="str">
        <f>"https://portaletrasparenza.consorziobacchiglione.it/dettagli/attodigara/374/fornitura-sasso-trachitico-per-scolo-palu.html"</f>
        <v>https://portaletrasparenza.consorziobacchiglione.it/dettagli/attodigara/374/fornitura-sasso-trachitico-per-scolo-palu.html</v>
      </c>
      <c r="U1797" t="str">
        <f>""</f>
        <v/>
      </c>
      <c r="V17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98" spans="1:22" x14ac:dyDescent="0.3">
      <c r="A1798" t="str">
        <f>"Affidamento"</f>
        <v>Affidamento</v>
      </c>
      <c r="B1798" t="str">
        <f>"Trasporto n 2 escavatori da scolo Bolzani a Selvazzano Dentro."</f>
        <v>Trasporto n 2 escavatori da scolo Bolzani a Selvazzano Dentro.</v>
      </c>
      <c r="C1798" t="str">
        <f>"Z8F19A6188"</f>
        <v>Z8F19A6188</v>
      </c>
      <c r="D1798" t="str">
        <f>"04/11/2021"</f>
        <v>04/11/2021</v>
      </c>
      <c r="E1798" t="str">
        <f>""</f>
        <v/>
      </c>
      <c r="F1798" t="str">
        <f>""</f>
        <v/>
      </c>
      <c r="G1798" t="str">
        <f>"496.00"</f>
        <v>496.00</v>
      </c>
      <c r="H1798" t="str">
        <f>"Consorzio di bonifica Bacchiglione"</f>
        <v>Consorzio di bonifica Bacchiglione</v>
      </c>
      <c r="I1798" t="str">
        <f>"92223390284"</f>
        <v>92223390284</v>
      </c>
      <c r="J1798" t="str">
        <f>"23-AFFIDAMENTO DIRETTO"</f>
        <v>23-AFFIDAMENTO DIRETTO</v>
      </c>
      <c r="K1798" t="str">
        <f>"29/04/2021"</f>
        <v>29/04/2021</v>
      </c>
      <c r="L1798" t="str">
        <f>"30/05/2021"</f>
        <v>30/05/2021</v>
      </c>
      <c r="M1798" t="str">
        <f>""</f>
        <v/>
      </c>
      <c r="N1798" t="str">
        <f>"Martini Luciano s.r.l. Via Bagnara Alta 1172 35030 VO PD"</f>
        <v>Martini Luciano s.r.l. Via Bagnara Alta 1172 35030 VO PD</v>
      </c>
      <c r="O1798" t="str">
        <f>"Martini Luciano s.r.l. Via Bagnara Alta 1172 35030 VO PD"</f>
        <v>Martini Luciano s.r.l. Via Bagnara Alta 1172 35030 VO PD</v>
      </c>
      <c r="P1798" t="str">
        <f>"Z8F19A6188: [496.00€ ]"</f>
        <v>Z8F19A6188: [496.00€ ]</v>
      </c>
      <c r="Q1798" t="str">
        <f>""</f>
        <v/>
      </c>
      <c r="R1798" t="str">
        <f>""</f>
        <v/>
      </c>
      <c r="S1798" t="str">
        <f>""</f>
        <v/>
      </c>
      <c r="T1798" t="str">
        <f>"https://portaletrasparenza.consorziobacchiglione.it/dettagli/attodigara/373/trasporto-n-2-escavatori-da-scolo-bolzani-a-selvazzano-dentro.html"</f>
        <v>https://portaletrasparenza.consorziobacchiglione.it/dettagli/attodigara/373/trasporto-n-2-escavatori-da-scolo-bolzani-a-selvazzano-dentro.html</v>
      </c>
      <c r="U1798" t="str">
        <f>""</f>
        <v/>
      </c>
      <c r="V17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799" spans="1:22" x14ac:dyDescent="0.3">
      <c r="A1799" t="str">
        <f>"Affidamento"</f>
        <v>Affidamento</v>
      </c>
      <c r="B1799" t="str">
        <f>"Lavori di fornitura e installazione nuovo gruppo manovra predisposto per motorizzazione presso paratoia scarico Albignasego"</f>
        <v>Lavori di fornitura e installazione nuovo gruppo manovra predisposto per motorizzazione presso paratoia scarico Albignasego</v>
      </c>
      <c r="C1799" t="str">
        <f>"Z68318B70F"</f>
        <v>Z68318B70F</v>
      </c>
      <c r="D1799" t="str">
        <f>"07/10/2021"</f>
        <v>07/10/2021</v>
      </c>
      <c r="E1799" t="str">
        <f>""</f>
        <v/>
      </c>
      <c r="F1799" t="str">
        <f>""</f>
        <v/>
      </c>
      <c r="G1799" t="str">
        <f>"8900.00"</f>
        <v>8900.00</v>
      </c>
      <c r="H1799" t="str">
        <f>"Consorzio di bonifica Bacchiglione"</f>
        <v>Consorzio di bonifica Bacchiglione</v>
      </c>
      <c r="I1799" t="str">
        <f>"92223390284"</f>
        <v>92223390284</v>
      </c>
      <c r="J1799" t="str">
        <f>"23-AFFIDAMENTO DIRETTO"</f>
        <v>23-AFFIDAMENTO DIRETTO</v>
      </c>
      <c r="K1799" t="str">
        <f>"29/04/2021"</f>
        <v>29/04/2021</v>
      </c>
      <c r="L1799" t="str">
        <f>"06/04/2022"</f>
        <v>06/04/2022</v>
      </c>
      <c r="M1799" t="str">
        <f>""</f>
        <v/>
      </c>
      <c r="N1799" t="str">
        <f>"F.lli Scapin S.R.L. Viale dell' Artigianato 67 35013 Cittadella PD"</f>
        <v>F.lli Scapin S.R.L. Viale dell' Artigianato 67 35013 Cittadella PD</v>
      </c>
      <c r="O1799" t="str">
        <f>"F.lli Scapin S.R.L. Viale dell' Artigianato 67 35013 Cittadella PD"</f>
        <v>F.lli Scapin S.R.L. Viale dell' Artigianato 67 35013 Cittadella PD</v>
      </c>
      <c r="P1799" t="str">
        <f>"Z68318B70F: [8900.00€ ]"</f>
        <v>Z68318B70F: [8900.00€ ]</v>
      </c>
      <c r="Q1799" t="str">
        <f>""</f>
        <v/>
      </c>
      <c r="R1799" t="str">
        <f>""</f>
        <v/>
      </c>
      <c r="S1799" t="str">
        <f>""</f>
        <v/>
      </c>
      <c r="T1799" t="str">
        <f>"https://portaletrasparenza.consorziobacchiglione.it/dettagli/attodigara/6841/lavori-di-fornitura-e-installazione-nuovo-gruppo-manovra-predisposto-per-motorizzazione-presso-paratoia-scarico-albignasego.html"</f>
        <v>https://portaletrasparenza.consorziobacchiglione.it/dettagli/attodigara/6841/lavori-di-fornitura-e-installazione-nuovo-gruppo-manovra-predisposto-per-motorizzazione-presso-paratoia-scarico-albignasego.html</v>
      </c>
      <c r="U1799" t="str">
        <f>"https://portaletrasparenza.consorziobacchiglione.it/download/attodigara/6841/63ac45d73d9b4.PDF"</f>
        <v>https://portaletrasparenza.consorziobacchiglione.it/download/attodigara/6841/63ac45d73d9b4.PDF</v>
      </c>
      <c r="V17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00" spans="1:22" x14ac:dyDescent="0.3">
      <c r="A1800" t="str">
        <f>"Affidamento"</f>
        <v>Affidamento</v>
      </c>
      <c r="B1800" t="str">
        <f>"Lavoro urgente di riparazione della tubazione irrigua interrata lungo la condotta Leb in comune di Saccolongo (PD)"</f>
        <v>Lavoro urgente di riparazione della tubazione irrigua interrata lungo la condotta Leb in comune di Saccolongo (PD)</v>
      </c>
      <c r="C1800" t="str">
        <f>"ZD8318AFFD"</f>
        <v>ZD8318AFFD</v>
      </c>
      <c r="D1800" t="str">
        <f>"29/04/2021"</f>
        <v>29/04/2021</v>
      </c>
      <c r="E1800" t="str">
        <f>""</f>
        <v/>
      </c>
      <c r="F1800" t="str">
        <f>""</f>
        <v/>
      </c>
      <c r="G1800" t="str">
        <f>"7984.77"</f>
        <v>7984.77</v>
      </c>
      <c r="H1800" t="str">
        <f>"Consorzio di bonifica Bacchiglione"</f>
        <v>Consorzio di bonifica Bacchiglione</v>
      </c>
      <c r="I1800" t="str">
        <f>"92223390284"</f>
        <v>92223390284</v>
      </c>
      <c r="J1800" t="str">
        <f>"23-AFFIDAMENTO DIRETTO"</f>
        <v>23-AFFIDAMENTO DIRETTO</v>
      </c>
      <c r="K1800" t="str">
        <f>"29/04/2021"</f>
        <v>29/04/2021</v>
      </c>
      <c r="L1800" t="str">
        <f>"29/07/2022"</f>
        <v>29/07/2022</v>
      </c>
      <c r="M1800" t="str">
        <f>""</f>
        <v/>
      </c>
      <c r="N1800" t="str">
        <f>"Costruire Società Cooperativa Viale Madonna delle Grazie 7 35028 Piove di Sacco PD"</f>
        <v>Costruire Società Cooperativa Viale Madonna delle Grazie 7 35028 Piove di Sacco PD</v>
      </c>
      <c r="O1800" t="str">
        <f>"Costruire Società Cooperativa Viale Madonna delle Grazie 7 35028 Piove di Sacco PD"</f>
        <v>Costruire Società Cooperativa Viale Madonna delle Grazie 7 35028 Piove di Sacco PD</v>
      </c>
      <c r="P1800" t="str">
        <f>"ZD8318AFFD: [7984.77€ ]"</f>
        <v>ZD8318AFFD: [7984.77€ ]</v>
      </c>
      <c r="Q1800" t="str">
        <f>""</f>
        <v/>
      </c>
      <c r="R1800" t="str">
        <f>""</f>
        <v/>
      </c>
      <c r="S1800" t="str">
        <f>""</f>
        <v/>
      </c>
      <c r="T1800" t="str">
        <f>"https://portaletrasparenza.consorziobacchiglione.it/dettagli/attodigara/6839/lavoro-urgente-di-riparazione-della-tubazione-irrigua-interrata-lungo-la-condotta-leb-in-comune-di-saccolongo-pd.html"</f>
        <v>https://portaletrasparenza.consorziobacchiglione.it/dettagli/attodigara/6839/lavoro-urgente-di-riparazione-della-tubazione-irrigua-interrata-lungo-la-condotta-leb-in-comune-di-saccolongo-pd.html</v>
      </c>
      <c r="U1800" t="str">
        <f>"https://portaletrasparenza.consorziobacchiglione.it/download/attodigara/6839/63ac458670edf.PDF"</f>
        <v>https://portaletrasparenza.consorziobacchiglione.it/download/attodigara/6839/63ac458670edf.PDF</v>
      </c>
      <c r="V18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01" spans="1:22" x14ac:dyDescent="0.3">
      <c r="A1801" t="str">
        <f>"Affidamento"</f>
        <v>Affidamento</v>
      </c>
      <c r="B1801" t="str">
        <f>"Offerta per lavori di pulizia, carico rifiuti provenienti dagli impianti di Padova / Olmo, Legnaro, Villatora, Vigonovo e Galta di Vigonovo, con successivo trasporto per conferimento ad impianto di destino."</f>
        <v>Offerta per lavori di pulizia, carico rifiuti provenienti dagli impianti di Padova / Olmo, Legnaro, Villatora, Vigonovo e Galta di Vigonovo, con successivo trasporto per conferimento ad impianto di destino.</v>
      </c>
      <c r="C1801" t="str">
        <f>"Z3F318DFF9"</f>
        <v>Z3F318DFF9</v>
      </c>
      <c r="D1801" t="str">
        <f>"30/04/2021"</f>
        <v>30/04/2021</v>
      </c>
      <c r="E1801" t="str">
        <f>""</f>
        <v/>
      </c>
      <c r="F1801" t="str">
        <f>""</f>
        <v/>
      </c>
      <c r="G1801" t="str">
        <f>"10980.00"</f>
        <v>10980.00</v>
      </c>
      <c r="H1801" t="str">
        <f>"Consorzio di bonifica Bacchiglione"</f>
        <v>Consorzio di bonifica Bacchiglione</v>
      </c>
      <c r="I1801" t="str">
        <f>"92223390284"</f>
        <v>92223390284</v>
      </c>
      <c r="J1801" t="str">
        <f>"23-AFFIDAMENTO DIRETTO"</f>
        <v>23-AFFIDAMENTO DIRETTO</v>
      </c>
      <c r="K1801" t="str">
        <f>"29/04/2021"</f>
        <v>29/04/2021</v>
      </c>
      <c r="L1801" t="str">
        <f>"19/01/2022"</f>
        <v>19/01/2022</v>
      </c>
      <c r="M1801" t="str">
        <f>""</f>
        <v/>
      </c>
      <c r="N1801" t="str">
        <f>"F.lli Gardin S.R.L. Via Caovilla 16 Saonara PD"</f>
        <v>F.lli Gardin S.R.L. Via Caovilla 16 Saonara PD</v>
      </c>
      <c r="O1801" t="str">
        <f>"F.lli Gardin S.R.L. Via Caovilla 16 Saonara PD"</f>
        <v>F.lli Gardin S.R.L. Via Caovilla 16 Saonara PD</v>
      </c>
      <c r="P1801" t="s">
        <v>205</v>
      </c>
      <c r="Q1801" t="str">
        <f>""</f>
        <v/>
      </c>
      <c r="R1801" t="str">
        <f>""</f>
        <v/>
      </c>
      <c r="S1801" t="str">
        <f>""</f>
        <v/>
      </c>
      <c r="T1801" t="s">
        <v>105</v>
      </c>
      <c r="U1801" t="str">
        <f>"https://portaletrasparenza.consorziobacchiglione.it/download/attodigara/6844/63ac45875eabf.PDF"</f>
        <v>https://portaletrasparenza.consorziobacchiglione.it/download/attodigara/6844/63ac45875eabf.PDF</v>
      </c>
      <c r="V180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02" spans="1:22" x14ac:dyDescent="0.3">
      <c r="A1802" t="str">
        <f>"Affidamento"</f>
        <v>Affidamento</v>
      </c>
      <c r="B1802" t="str">
        <f>"Fornitura materiale elettrico per vari Impianti"</f>
        <v>Fornitura materiale elettrico per vari Impianti</v>
      </c>
      <c r="C1802" t="str">
        <f>"Z9F318BA1E"</f>
        <v>Z9F318BA1E</v>
      </c>
      <c r="D1802" t="str">
        <f>"30/04/2021"</f>
        <v>30/04/2021</v>
      </c>
      <c r="E1802" t="str">
        <f>""</f>
        <v/>
      </c>
      <c r="F1802" t="str">
        <f>""</f>
        <v/>
      </c>
      <c r="G1802" t="str">
        <f>"2633.28"</f>
        <v>2633.28</v>
      </c>
      <c r="H1802" t="str">
        <f>"Consorzio di bonifica Bacchiglione"</f>
        <v>Consorzio di bonifica Bacchiglione</v>
      </c>
      <c r="I1802" t="str">
        <f>"92223390284"</f>
        <v>92223390284</v>
      </c>
      <c r="J1802" t="str">
        <f>"23-AFFIDAMENTO DIRETTO"</f>
        <v>23-AFFIDAMENTO DIRETTO</v>
      </c>
      <c r="K1802" t="str">
        <f>"29/04/2021"</f>
        <v>29/04/2021</v>
      </c>
      <c r="L1802" t="str">
        <f>"31/05/2021"</f>
        <v>31/05/2021</v>
      </c>
      <c r="M1802" t="str">
        <f>""</f>
        <v/>
      </c>
      <c r="N1802" t="str">
        <f>"Marchiol S.P.A. Viale della Repubblica 41 31020 sede legale Villorba TV"</f>
        <v>Marchiol S.P.A. Viale della Repubblica 41 31020 sede legale Villorba TV</v>
      </c>
      <c r="O1802" t="str">
        <f>"Marchiol S.P.A. Viale della Repubblica 41 31020 sede legale Villorba TV"</f>
        <v>Marchiol S.P.A. Viale della Repubblica 41 31020 sede legale Villorba TV</v>
      </c>
      <c r="P1802" t="str">
        <f>"Z9F318BA1E: [2633.28€ ]"</f>
        <v>Z9F318BA1E: [2633.28€ ]</v>
      </c>
      <c r="Q1802" t="str">
        <f>""</f>
        <v/>
      </c>
      <c r="R1802" t="str">
        <f>""</f>
        <v/>
      </c>
      <c r="S1802" t="str">
        <f>""</f>
        <v/>
      </c>
      <c r="T1802" t="str">
        <f>"https://portaletrasparenza.consorziobacchiglione.it/dettagli/attodigara/6843/fornitura-materiale-elettrico-per-vari-impianti.html"</f>
        <v>https://portaletrasparenza.consorziobacchiglione.it/dettagli/attodigara/6843/fornitura-materiale-elettrico-per-vari-impianti.html</v>
      </c>
      <c r="U1802" t="str">
        <f>"https://portaletrasparenza.consorziobacchiglione.it/download/attodigara/6843/63ac4587263a2.PDF"</f>
        <v>https://portaletrasparenza.consorziobacchiglione.it/download/attodigara/6843/63ac4587263a2.PDF</v>
      </c>
      <c r="V180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03" spans="1:22" x14ac:dyDescent="0.3">
      <c r="A1803" t="str">
        <f>"Affidamento"</f>
        <v>Affidamento</v>
      </c>
      <c r="B1803" t="str">
        <f>"Sostituzione pneumatici del mezzo targato: FS455SM"</f>
        <v>Sostituzione pneumatici del mezzo targato: FS455SM</v>
      </c>
      <c r="C1803" t="str">
        <f>"ZB4318B8EA"</f>
        <v>ZB4318B8EA</v>
      </c>
      <c r="D1803" t="str">
        <f>"30/04/2021"</f>
        <v>30/04/2021</v>
      </c>
      <c r="E1803" t="str">
        <f>""</f>
        <v/>
      </c>
      <c r="F1803" t="str">
        <f>""</f>
        <v/>
      </c>
      <c r="G1803" t="str">
        <f>"407.20"</f>
        <v>407.20</v>
      </c>
      <c r="H1803" t="str">
        <f>"Consorzio di bonifica Bacchiglione"</f>
        <v>Consorzio di bonifica Bacchiglione</v>
      </c>
      <c r="I1803" t="str">
        <f>"92223390284"</f>
        <v>92223390284</v>
      </c>
      <c r="J1803" t="str">
        <f>"23-AFFIDAMENTO DIRETTO"</f>
        <v>23-AFFIDAMENTO DIRETTO</v>
      </c>
      <c r="K1803" t="str">
        <f>"29/04/2021"</f>
        <v>29/04/2021</v>
      </c>
      <c r="L1803" t="str">
        <f>"10/06/2021"</f>
        <v>10/06/2021</v>
      </c>
      <c r="M1803" t="str">
        <f>""</f>
        <v/>
      </c>
      <c r="N1803" t="str">
        <f>"Giacobazzi Gomme Corso Terme 27 35036 Montegrotto Terme PD"</f>
        <v>Giacobazzi Gomme Corso Terme 27 35036 Montegrotto Terme PD</v>
      </c>
      <c r="O1803" t="str">
        <f>"Giacobazzi Gomme Corso Terme 27 35036 Montegrotto Terme PD"</f>
        <v>Giacobazzi Gomme Corso Terme 27 35036 Montegrotto Terme PD</v>
      </c>
      <c r="P1803" t="str">
        <f>"ZB4318B8EA: [407.20€ ]"</f>
        <v>ZB4318B8EA: [407.20€ ]</v>
      </c>
      <c r="Q1803" t="str">
        <f>""</f>
        <v/>
      </c>
      <c r="R1803" t="str">
        <f>""</f>
        <v/>
      </c>
      <c r="S1803" t="str">
        <f>""</f>
        <v/>
      </c>
      <c r="T1803" t="str">
        <f>"https://portaletrasparenza.consorziobacchiglione.it/dettagli/attodigara/6842/sostituzione-pneumatici-del-mezzo-targato-fs455sm.html"</f>
        <v>https://portaletrasparenza.consorziobacchiglione.it/dettagli/attodigara/6842/sostituzione-pneumatici-del-mezzo-targato-fs455sm.html</v>
      </c>
      <c r="U1803" t="str">
        <f>"https://portaletrasparenza.consorziobacchiglione.it/download/attodigara/6842/63ac4586e1afa.PDF"</f>
        <v>https://portaletrasparenza.consorziobacchiglione.it/download/attodigara/6842/63ac4586e1afa.PDF</v>
      </c>
      <c r="V18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04" spans="1:22" x14ac:dyDescent="0.3">
      <c r="A1804" t="str">
        <f>"Affidamento"</f>
        <v>Affidamento</v>
      </c>
      <c r="B1804" t="str">
        <f>"Manutenzione e riparazione mezzo con targa: FF936PM"</f>
        <v>Manutenzione e riparazione mezzo con targa: FF936PM</v>
      </c>
      <c r="C1804" t="str">
        <f>"Z9B311355C"</f>
        <v>Z9B311355C</v>
      </c>
      <c r="D1804" t="str">
        <f>"30/04/2021"</f>
        <v>30/04/2021</v>
      </c>
      <c r="E1804" t="str">
        <f>""</f>
        <v/>
      </c>
      <c r="F1804" t="str">
        <f>""</f>
        <v/>
      </c>
      <c r="G1804" t="str">
        <f>"275.94"</f>
        <v>275.94</v>
      </c>
      <c r="H1804" t="str">
        <f>"Consorzio di bonifica Bacchiglione"</f>
        <v>Consorzio di bonifica Bacchiglione</v>
      </c>
      <c r="I1804" t="str">
        <f>"92223390284"</f>
        <v>92223390284</v>
      </c>
      <c r="J1804" t="str">
        <f>"23-AFFIDAMENTO DIRETTO"</f>
        <v>23-AFFIDAMENTO DIRETTO</v>
      </c>
      <c r="K1804" t="str">
        <f>"29/04/2021"</f>
        <v>29/04/2021</v>
      </c>
      <c r="L1804" t="str">
        <f>"13/05/2021"</f>
        <v>13/05/2021</v>
      </c>
      <c r="M1804" t="str">
        <f>""</f>
        <v/>
      </c>
      <c r="N1804" t="str">
        <f>"Negrisolo Officina Meccanica s.a.s. V.le delle Industrie II° strada 13 35025 Cagnola di Cartura PD"</f>
        <v>Negrisolo Officina Meccanica s.a.s. V.le delle Industrie II° strada 13 35025 Cagnola di Cartura PD</v>
      </c>
      <c r="O1804" t="str">
        <f>"Negrisolo Officina Meccanica s.a.s. V.le delle Industrie II° strada 13 35025 Cagnola di Cartura PD"</f>
        <v>Negrisolo Officina Meccanica s.a.s. V.le delle Industrie II° strada 13 35025 Cagnola di Cartura PD</v>
      </c>
      <c r="P1804" t="str">
        <f>"Z9B311355C: [275.94€ ]"</f>
        <v>Z9B311355C: [275.94€ ]</v>
      </c>
      <c r="Q1804" t="str">
        <f>""</f>
        <v/>
      </c>
      <c r="R1804" t="str">
        <f>""</f>
        <v/>
      </c>
      <c r="S1804" t="str">
        <f>""</f>
        <v/>
      </c>
      <c r="T1804" t="str">
        <f>"https://portaletrasparenza.consorziobacchiglione.it/dettagli/attodigara/6840/manutenzione-e-riparazione-mezzo-con-targa-ff936pm.html"</f>
        <v>https://portaletrasparenza.consorziobacchiglione.it/dettagli/attodigara/6840/manutenzione-e-riparazione-mezzo-con-targa-ff936pm.html</v>
      </c>
      <c r="U1804" t="str">
        <f>"https://portaletrasparenza.consorziobacchiglione.it/download/attodigara/6840/63ac4586a950a.PDF"</f>
        <v>https://portaletrasparenza.consorziobacchiglione.it/download/attodigara/6840/63ac4586a950a.PDF</v>
      </c>
      <c r="V18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05" spans="1:22" x14ac:dyDescent="0.3">
      <c r="A1805" t="str">
        <f>"Affidamento"</f>
        <v>Affidamento</v>
      </c>
      <c r="B1805" t="str">
        <f>"Fornitura MC 3,00 di calcestruzzo RCK 300 S4 per lavori presso Scolo Scossia"</f>
        <v>Fornitura MC 3,00 di calcestruzzo RCK 300 S4 per lavori presso Scolo Scossia</v>
      </c>
      <c r="C1805" t="str">
        <f>"Z6C318F6E3"</f>
        <v>Z6C318F6E3</v>
      </c>
      <c r="D1805" t="str">
        <f>"30/04/2021"</f>
        <v>30/04/2021</v>
      </c>
      <c r="E1805" t="str">
        <f>""</f>
        <v/>
      </c>
      <c r="F1805" t="str">
        <f>""</f>
        <v/>
      </c>
      <c r="G1805" t="str">
        <f>"248.00"</f>
        <v>248.00</v>
      </c>
      <c r="H1805" t="str">
        <f>"Consorzio di bonifica Bacchiglione"</f>
        <v>Consorzio di bonifica Bacchiglione</v>
      </c>
      <c r="I1805" t="str">
        <f>"92223390284"</f>
        <v>92223390284</v>
      </c>
      <c r="J1805" t="str">
        <f>"23-AFFIDAMENTO DIRETTO"</f>
        <v>23-AFFIDAMENTO DIRETTO</v>
      </c>
      <c r="K1805" t="str">
        <f>"29/04/2021"</f>
        <v>29/04/2021</v>
      </c>
      <c r="L1805" t="str">
        <f>"30/04/2021"</f>
        <v>30/04/2021</v>
      </c>
      <c r="M1805" t="str">
        <f>""</f>
        <v/>
      </c>
      <c r="N1805" t="str">
        <f>"Zagolin Giovanni s.r.l. Via Gelsi 56 35028 Piove di Sacco PD"</f>
        <v>Zagolin Giovanni s.r.l. Via Gelsi 56 35028 Piove di Sacco PD</v>
      </c>
      <c r="O1805" t="str">
        <f>"Zagolin Giovanni s.r.l. Via Gelsi 56 35028 Piove di Sacco PD"</f>
        <v>Zagolin Giovanni s.r.l. Via Gelsi 56 35028 Piove di Sacco PD</v>
      </c>
      <c r="P1805" t="str">
        <f>"Z6C318F6E3: [0.00€ ]"</f>
        <v>Z6C318F6E3: [0.00€ ]</v>
      </c>
      <c r="Q1805" t="str">
        <f>""</f>
        <v/>
      </c>
      <c r="R1805" t="str">
        <f>""</f>
        <v/>
      </c>
      <c r="S1805" t="str">
        <f>""</f>
        <v/>
      </c>
      <c r="T1805" t="str">
        <f>"https://portaletrasparenza.consorziobacchiglione.it/dettagli/attodigara/6845/fornitura-mc-3-00-di-calcestruzzo-rck-300-s4-per-lavori-presso-scolo-scossia.html"</f>
        <v>https://portaletrasparenza.consorziobacchiglione.it/dettagli/attodigara/6845/fornitura-mc-3-00-di-calcestruzzo-rck-300-s4-per-lavori-presso-scolo-scossia.html</v>
      </c>
      <c r="U1805" t="str">
        <f>"https://portaletrasparenza.consorziobacchiglione.it/download/attodigara/6845/62a209ee6bc9f.PDF"</f>
        <v>https://portaletrasparenza.consorziobacchiglione.it/download/attodigara/6845/62a209ee6bc9f.PDF</v>
      </c>
      <c r="V1805">
        <f>(SUBSTITUTE(Tabella1[[#This Row],[Importo di aggiudicazione]],".",","))-(SUBSTITUTE(  SUBSTITUTE(          SUBSTITUTE(Tabella1[[#This Row],[Dettaglio somme liquidate]],Tabella1[[#This Row],[CIG]]&amp;": [",""),"€ ]",""),".",","))</f>
        <v>248</v>
      </c>
    </row>
    <row r="1806" spans="1:22" x14ac:dyDescent="0.3">
      <c r="A1806" t="str">
        <f>"Affidamento"</f>
        <v>Affidamento</v>
      </c>
      <c r="B1806" t="str">
        <f>"Corso di formazione per n. 4 dipendenti, per la manutenzione delle cabine elettriche MT/BT dell'utente, secondo la nuova normativa tecnica e dichiarazione di adeguatezza."</f>
        <v>Corso di formazione per n. 4 dipendenti, per la manutenzione delle cabine elettriche MT/BT dell'utente, secondo la nuova normativa tecnica e dichiarazione di adeguatezza.</v>
      </c>
      <c r="C1806" t="str">
        <f>"Z041A764F5"</f>
        <v>Z041A764F5</v>
      </c>
      <c r="D1806" t="str">
        <f>"04/11/2021"</f>
        <v>04/11/2021</v>
      </c>
      <c r="E1806" t="str">
        <f>""</f>
        <v/>
      </c>
      <c r="F1806" t="str">
        <f>""</f>
        <v/>
      </c>
      <c r="G1806" t="str">
        <f>"480.00"</f>
        <v>480.00</v>
      </c>
      <c r="H1806" t="str">
        <f>"Consorzio di bonifica Bacchiglione"</f>
        <v>Consorzio di bonifica Bacchiglione</v>
      </c>
      <c r="I1806" t="str">
        <f>"92223390284"</f>
        <v>92223390284</v>
      </c>
      <c r="J1806" t="str">
        <f>"23-AFFIDAMENTO DIRETTO"</f>
        <v>23-AFFIDAMENTO DIRETTO</v>
      </c>
      <c r="K1806" t="str">
        <f>"29/06/2021"</f>
        <v>29/06/2021</v>
      </c>
      <c r="L1806" t="str">
        <f>"29/07/2021"</f>
        <v>29/07/2021</v>
      </c>
      <c r="M1806" t="str">
        <f>""</f>
        <v/>
      </c>
      <c r="N1806" t="str">
        <f>"Aviel Unae Veneto presso Università di Padova - Dipartimento di Ingegneria Elettrica Via G. Gradenigo 6A 35131 Padova"</f>
        <v>Aviel Unae Veneto presso Università di Padova - Dipartimento di Ingegneria Elettrica Via G. Gradenigo 6A 35131 Padova</v>
      </c>
      <c r="O1806" t="str">
        <f>"Aviel Unae Veneto presso Università di Padova - Dipartimento di Ingegneria Elettrica Via G. Gradenigo 6A 35131 Padova"</f>
        <v>Aviel Unae Veneto presso Università di Padova - Dipartimento di Ingegneria Elettrica Via G. Gradenigo 6A 35131 Padova</v>
      </c>
      <c r="P1806" t="str">
        <f>"Z041A764F5: [480.00€ ]"</f>
        <v>Z041A764F5: [480.00€ ]</v>
      </c>
      <c r="Q1806" t="str">
        <f>""</f>
        <v/>
      </c>
      <c r="R1806" t="str">
        <f>""</f>
        <v/>
      </c>
      <c r="S1806" t="str">
        <f>""</f>
        <v/>
      </c>
      <c r="T1806" t="str">
        <f>"https://portaletrasparenza.consorziobacchiglione.it/dettagli/attodigara/552/corso-di-formazione-per-n-4-dipendenti-per-la-manutenzione-delle-cabine-elettriche-mt-bt-dell-utente-secondo-la-nuova-normativa-tecnica-e-dichiarazione-di-adeguatezza.html"</f>
        <v>https://portaletrasparenza.consorziobacchiglione.it/dettagli/attodigara/552/corso-di-formazione-per-n-4-dipendenti-per-la-manutenzione-delle-cabine-elettriche-mt-bt-dell-utente-secondo-la-nuova-normativa-tecnica-e-dichiarazione-di-adeguatezza.html</v>
      </c>
      <c r="U1806" t="str">
        <f>""</f>
        <v/>
      </c>
      <c r="V18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07" spans="1:22" x14ac:dyDescent="0.3">
      <c r="A1807" t="str">
        <f>"Affidamento"</f>
        <v>Affidamento</v>
      </c>
      <c r="B1807" t="str">
        <f>"Fornitura carrello pirodiserbo a 2 ruote per bombola da 15/25 KG per C.O.S.Margherita."</f>
        <v>Fornitura carrello pirodiserbo a 2 ruote per bombola da 15/25 KG per C.O.S.Margherita.</v>
      </c>
      <c r="C1807" t="str">
        <f>"Z6C1A756D4"</f>
        <v>Z6C1A756D4</v>
      </c>
      <c r="D1807" t="str">
        <f>"04/11/2021"</f>
        <v>04/11/2021</v>
      </c>
      <c r="E1807" t="str">
        <f>""</f>
        <v/>
      </c>
      <c r="F1807" t="str">
        <f>""</f>
        <v/>
      </c>
      <c r="G1807" t="str">
        <f>"209.02"</f>
        <v>209.02</v>
      </c>
      <c r="H1807" t="str">
        <f>"Consorzio di bonifica Bacchiglione"</f>
        <v>Consorzio di bonifica Bacchiglione</v>
      </c>
      <c r="I1807" t="str">
        <f>"92223390284"</f>
        <v>92223390284</v>
      </c>
      <c r="J1807" t="str">
        <f>"23-AFFIDAMENTO DIRETTO"</f>
        <v>23-AFFIDAMENTO DIRETTO</v>
      </c>
      <c r="K1807" t="str">
        <f>"29/06/2021"</f>
        <v>29/06/2021</v>
      </c>
      <c r="L1807" t="str">
        <f>"10/08/2021"</f>
        <v>10/08/2021</v>
      </c>
      <c r="M1807" t="str">
        <f>""</f>
        <v/>
      </c>
      <c r="N1807" t="str">
        <f>"Frizzarin Marcello e C. s.n.c. Via Roma 1e 35020 Albignasego PD"</f>
        <v>Frizzarin Marcello e C. s.n.c. Via Roma 1e 35020 Albignasego PD</v>
      </c>
      <c r="O1807" t="str">
        <f>"Frizzarin Marcello e C. s.n.c. Via Roma 1e 35020 Albignasego PD"</f>
        <v>Frizzarin Marcello e C. s.n.c. Via Roma 1e 35020 Albignasego PD</v>
      </c>
      <c r="P1807" t="str">
        <f>"Z6C1A756D4: [209.02€ ]"</f>
        <v>Z6C1A756D4: [209.02€ ]</v>
      </c>
      <c r="Q1807" t="str">
        <f>""</f>
        <v/>
      </c>
      <c r="R1807" t="str">
        <f>""</f>
        <v/>
      </c>
      <c r="S1807" t="str">
        <f>""</f>
        <v/>
      </c>
      <c r="T1807" t="str">
        <f>"https://portaletrasparenza.consorziobacchiglione.it/dettagli/attodigara/551/fornitura-carrello-pirodiserbo-a-2-ruote-per-bombola-da-15-25-kg-per-c-o-s-margherita.html"</f>
        <v>https://portaletrasparenza.consorziobacchiglione.it/dettagli/attodigara/551/fornitura-carrello-pirodiserbo-a-2-ruote-per-bombola-da-15-25-kg-per-c-o-s-margherita.html</v>
      </c>
      <c r="U1807" t="str">
        <f>""</f>
        <v/>
      </c>
      <c r="V180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08" spans="1:22" x14ac:dyDescent="0.3">
      <c r="A1808" t="str">
        <f>"Affidamento"</f>
        <v>Affidamento</v>
      </c>
      <c r="B1808" t="str">
        <f>"Fornitura di arredamento per uffici S.Margherita."</f>
        <v>Fornitura di arredamento per uffici S.Margherita.</v>
      </c>
      <c r="C1808" t="str">
        <f>"Z5B1A73BB2"</f>
        <v>Z5B1A73BB2</v>
      </c>
      <c r="D1808" t="str">
        <f>"04/11/2021"</f>
        <v>04/11/2021</v>
      </c>
      <c r="E1808" t="str">
        <f>""</f>
        <v/>
      </c>
      <c r="F1808" t="str">
        <f>""</f>
        <v/>
      </c>
      <c r="G1808" t="str">
        <f>"1759.00"</f>
        <v>1759.00</v>
      </c>
      <c r="H1808" t="str">
        <f>"Consorzio di bonifica Bacchiglione"</f>
        <v>Consorzio di bonifica Bacchiglione</v>
      </c>
      <c r="I1808" t="str">
        <f>"92223390284"</f>
        <v>92223390284</v>
      </c>
      <c r="J1808" t="str">
        <f>"23-AFFIDAMENTO DIRETTO"</f>
        <v>23-AFFIDAMENTO DIRETTO</v>
      </c>
      <c r="K1808" t="str">
        <f>"29/06/2021"</f>
        <v>29/06/2021</v>
      </c>
      <c r="L1808" t="str">
        <f>"05/10/2021"</f>
        <v>05/10/2021</v>
      </c>
      <c r="M1808" t="str">
        <f>""</f>
        <v/>
      </c>
      <c r="N1808" t="str">
        <f>"Antonello Finiture S.r.l. Via per Salvatronda 17A 31033 Castelfranco Veneto TV"</f>
        <v>Antonello Finiture S.r.l. Via per Salvatronda 17A 31033 Castelfranco Veneto TV</v>
      </c>
      <c r="O1808" t="str">
        <f>"Antonello Finiture S.r.l. Via per Salvatronda 17A 31033 Castelfranco Veneto TV"</f>
        <v>Antonello Finiture S.r.l. Via per Salvatronda 17A 31033 Castelfranco Veneto TV</v>
      </c>
      <c r="P1808" t="str">
        <f>"Z5B1A73BB2: [1759.00€ ]"</f>
        <v>Z5B1A73BB2: [1759.00€ ]</v>
      </c>
      <c r="Q1808" t="str">
        <f>""</f>
        <v/>
      </c>
      <c r="R1808" t="str">
        <f>""</f>
        <v/>
      </c>
      <c r="S1808" t="str">
        <f>""</f>
        <v/>
      </c>
      <c r="T1808" t="str">
        <f>"https://portaletrasparenza.consorziobacchiglione.it/dettagli/attodigara/550/fornitura-di-arredamento-per-uffici-s-margherita.html"</f>
        <v>https://portaletrasparenza.consorziobacchiglione.it/dettagli/attodigara/550/fornitura-di-arredamento-per-uffici-s-margherita.html</v>
      </c>
      <c r="U1808" t="str">
        <f>""</f>
        <v/>
      </c>
      <c r="V18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09" spans="1:22" x14ac:dyDescent="0.3">
      <c r="A1809" t="str">
        <f>"Affidamento"</f>
        <v>Affidamento</v>
      </c>
      <c r="B1809" t="str">
        <f>"Fornitura n.1 confezione lavatergi più lampadina 12V 21/5W per mezzo targato: FT040WG"</f>
        <v>Fornitura n.1 confezione lavatergi più lampadina 12V 21/5W per mezzo targato: FT040WG</v>
      </c>
      <c r="C1809" t="str">
        <f>"Z11324AA34"</f>
        <v>Z11324AA34</v>
      </c>
      <c r="D1809" t="str">
        <f>"06/07/2021"</f>
        <v>06/07/2021</v>
      </c>
      <c r="E1809" t="str">
        <f>""</f>
        <v/>
      </c>
      <c r="F1809" t="str">
        <f>""</f>
        <v/>
      </c>
      <c r="G1809" t="str">
        <f>"27.63"</f>
        <v>27.63</v>
      </c>
      <c r="H1809" t="str">
        <f>"Consorzio di bonifica Bacchiglione"</f>
        <v>Consorzio di bonifica Bacchiglione</v>
      </c>
      <c r="I1809" t="str">
        <f>"92223390284"</f>
        <v>92223390284</v>
      </c>
      <c r="J1809" t="str">
        <f>"23-AFFIDAMENTO DIRETTO"</f>
        <v>23-AFFIDAMENTO DIRETTO</v>
      </c>
      <c r="K1809" t="str">
        <f>"29/06/2021"</f>
        <v>29/06/2021</v>
      </c>
      <c r="L1809" t="str">
        <f>"23/07/2021"</f>
        <v>23/07/2021</v>
      </c>
      <c r="M1809" t="str">
        <f>""</f>
        <v/>
      </c>
      <c r="N1809" t="str">
        <f>"Autoriparazioni Ravazzolo s.r.l. Via Roma 259a 35030 Montemerlo di Cervarese Santa Croce PD"</f>
        <v>Autoriparazioni Ravazzolo s.r.l. Via Roma 259a 35030 Montemerlo di Cervarese Santa Croce PD</v>
      </c>
      <c r="O1809" t="str">
        <f>"Autoriparazioni Ravazzolo s.r.l. Via Roma 259a 35030 Montemerlo di Cervarese Santa Croce PD"</f>
        <v>Autoriparazioni Ravazzolo s.r.l. Via Roma 259a 35030 Montemerlo di Cervarese Santa Croce PD</v>
      </c>
      <c r="P1809" t="str">
        <f>"Z11324AA34: [27.63€ ]"</f>
        <v>Z11324AA34: [27.63€ ]</v>
      </c>
      <c r="Q1809" t="str">
        <f>""</f>
        <v/>
      </c>
      <c r="R1809" t="str">
        <f>""</f>
        <v/>
      </c>
      <c r="S1809" t="str">
        <f>""</f>
        <v/>
      </c>
      <c r="T1809" t="str">
        <f>"https://portaletrasparenza.consorziobacchiglione.it/dettagli/attodigara/6984/fornitura-n-1-confezione-lavatergi-piu-lampadina-12v-21-5w-per-mezzo-targato-ft040wg.html"</f>
        <v>https://portaletrasparenza.consorziobacchiglione.it/dettagli/attodigara/6984/fornitura-n-1-confezione-lavatergi-piu-lampadina-12v-21-5w-per-mezzo-targato-ft040wg.html</v>
      </c>
      <c r="U1809" t="str">
        <f>"https://portaletrasparenza.consorziobacchiglione.it/download/attodigara/6984/63ac45a3ea9f7.PDF"</f>
        <v>https://portaletrasparenza.consorziobacchiglione.it/download/attodigara/6984/63ac45a3ea9f7.PDF</v>
      </c>
      <c r="V180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10" spans="1:22" x14ac:dyDescent="0.3">
      <c r="A1810" t="str">
        <f>"Affidamento"</f>
        <v>Affidamento</v>
      </c>
      <c r="B1810" t="str">
        <f>"Manutenzione e riparazione mezzo targato: PDAH521"</f>
        <v>Manutenzione e riparazione mezzo targato: PDAH521</v>
      </c>
      <c r="C1810" t="str">
        <f>"Z3E3248745"</f>
        <v>Z3E3248745</v>
      </c>
      <c r="D1810" t="str">
        <f>"06/07/2021"</f>
        <v>06/07/2021</v>
      </c>
      <c r="E1810" t="str">
        <f>""</f>
        <v/>
      </c>
      <c r="F1810" t="str">
        <f>""</f>
        <v/>
      </c>
      <c r="G1810" t="str">
        <f>"308.00"</f>
        <v>308.00</v>
      </c>
      <c r="H1810" t="str">
        <f>"Consorzio di bonifica Bacchiglione"</f>
        <v>Consorzio di bonifica Bacchiglione</v>
      </c>
      <c r="I1810" t="str">
        <f>"92223390284"</f>
        <v>92223390284</v>
      </c>
      <c r="J1810" t="str">
        <f>"23-AFFIDAMENTO DIRETTO"</f>
        <v>23-AFFIDAMENTO DIRETTO</v>
      </c>
      <c r="K1810" t="str">
        <f>"29/06/2021"</f>
        <v>29/06/2021</v>
      </c>
      <c r="L1810" t="str">
        <f>"20/07/2021"</f>
        <v>20/07/2021</v>
      </c>
      <c r="M1810" t="str">
        <f>""</f>
        <v/>
      </c>
      <c r="N1810" t="str">
        <f>"Adriatica Commerciale Macchine s.r.l. Via dell'Artigianato 5 35020 Due Carrare PD"</f>
        <v>Adriatica Commerciale Macchine s.r.l. Via dell'Artigianato 5 35020 Due Carrare PD</v>
      </c>
      <c r="O1810" t="str">
        <f>"Adriatica Commerciale Macchine s.r.l. Via dell'Artigianato 5 35020 Due Carrare PD"</f>
        <v>Adriatica Commerciale Macchine s.r.l. Via dell'Artigianato 5 35020 Due Carrare PD</v>
      </c>
      <c r="P1810" t="str">
        <f>"Z3E3248745: [308.00€ ]"</f>
        <v>Z3E3248745: [308.00€ ]</v>
      </c>
      <c r="Q1810" t="str">
        <f>""</f>
        <v/>
      </c>
      <c r="R1810" t="str">
        <f>""</f>
        <v/>
      </c>
      <c r="S1810" t="str">
        <f>""</f>
        <v/>
      </c>
      <c r="T1810" t="str">
        <f>"https://portaletrasparenza.consorziobacchiglione.it/dettagli/attodigara/6982/manutenzione-e-riparazione-mezzo-targato-pdah521.html"</f>
        <v>https://portaletrasparenza.consorziobacchiglione.it/dettagli/attodigara/6982/manutenzione-e-riparazione-mezzo-targato-pdah521.html</v>
      </c>
      <c r="U1810" t="str">
        <f>"https://portaletrasparenza.consorziobacchiglione.it/download/attodigara/6982/63ac45a3b1fd1.PDF"</f>
        <v>https://portaletrasparenza.consorziobacchiglione.it/download/attodigara/6982/63ac45a3b1fd1.PDF</v>
      </c>
      <c r="V18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11" spans="1:22" x14ac:dyDescent="0.3">
      <c r="A1811" t="str">
        <f>"Affidamento"</f>
        <v>Affidamento</v>
      </c>
      <c r="B1811" t="str">
        <f>"Fornitura materiale elettrico per vari Impianti"</f>
        <v>Fornitura materiale elettrico per vari Impianti</v>
      </c>
      <c r="C1811" t="str">
        <f>"ZBF3249187"</f>
        <v>ZBF3249187</v>
      </c>
      <c r="D1811" t="str">
        <f>"06/07/2021"</f>
        <v>06/07/2021</v>
      </c>
      <c r="E1811" t="str">
        <f>""</f>
        <v/>
      </c>
      <c r="F1811" t="str">
        <f>""</f>
        <v/>
      </c>
      <c r="G1811" t="str">
        <f>"953.46"</f>
        <v>953.46</v>
      </c>
      <c r="H1811" t="str">
        <f>"Consorzio di bonifica Bacchiglione"</f>
        <v>Consorzio di bonifica Bacchiglione</v>
      </c>
      <c r="I1811" t="str">
        <f>"92223390284"</f>
        <v>92223390284</v>
      </c>
      <c r="J1811" t="str">
        <f>"23-AFFIDAMENTO DIRETTO"</f>
        <v>23-AFFIDAMENTO DIRETTO</v>
      </c>
      <c r="K1811" t="str">
        <f>"29/06/2021"</f>
        <v>29/06/2021</v>
      </c>
      <c r="L1811" t="str">
        <f>"31/12/2021"</f>
        <v>31/12/2021</v>
      </c>
      <c r="M1811" t="str">
        <f>""</f>
        <v/>
      </c>
      <c r="N1811" t="str">
        <f>"Marchiol S.P.A. Viale della Repubblica 41 31020 sede legale Villorba TV"</f>
        <v>Marchiol S.P.A. Viale della Repubblica 41 31020 sede legale Villorba TV</v>
      </c>
      <c r="O1811" t="str">
        <f>"Marchiol S.P.A. Viale della Repubblica 41 31020 sede legale Villorba TV"</f>
        <v>Marchiol S.P.A. Viale della Repubblica 41 31020 sede legale Villorba TV</v>
      </c>
      <c r="P1811" t="str">
        <f>"ZBF3249187: [0.00€ ]"</f>
        <v>ZBF3249187: [0.00€ ]</v>
      </c>
      <c r="Q1811" t="str">
        <f>""</f>
        <v/>
      </c>
      <c r="R1811" t="str">
        <f>""</f>
        <v/>
      </c>
      <c r="S1811" t="str">
        <f>""</f>
        <v/>
      </c>
      <c r="T1811" t="str">
        <f>"https://portaletrasparenza.consorziobacchiglione.it/dettagli/attodigara/6983/fornitura-materiale-elettrico-per-vari-impianti.html"</f>
        <v>https://portaletrasparenza.consorziobacchiglione.it/dettagli/attodigara/6983/fornitura-materiale-elettrico-per-vari-impianti.html</v>
      </c>
      <c r="U1811" t="str">
        <f>"https://portaletrasparenza.consorziobacchiglione.it/download/attodigara/6983/62a20a30ea69c.PDF"</f>
        <v>https://portaletrasparenza.consorziobacchiglione.it/download/attodigara/6983/62a20a30ea69c.PDF</v>
      </c>
      <c r="V1811">
        <f>(SUBSTITUTE(Tabella1[[#This Row],[Importo di aggiudicazione]],".",","))-(SUBSTITUTE(  SUBSTITUTE(          SUBSTITUTE(Tabella1[[#This Row],[Dettaglio somme liquidate]],Tabella1[[#This Row],[CIG]]&amp;": [",""),"€ ]",""),".",","))</f>
        <v>953.46</v>
      </c>
    </row>
    <row r="1812" spans="1:22" x14ac:dyDescent="0.3">
      <c r="A1812" t="str">
        <f>"Affidamento"</f>
        <v>Affidamento</v>
      </c>
      <c r="B1812" t="str">
        <f>"Fornitura e posa pavimento e rivestimento su porzione sede Consorziale."</f>
        <v>Fornitura e posa pavimento e rivestimento su porzione sede Consorziale.</v>
      </c>
      <c r="C1812" t="str">
        <f>"Z011ACE02E"</f>
        <v>Z011ACE02E</v>
      </c>
      <c r="D1812" t="str">
        <f>"04/11/2021"</f>
        <v>04/11/2021</v>
      </c>
      <c r="E1812" t="str">
        <f>""</f>
        <v/>
      </c>
      <c r="F1812" t="str">
        <f>""</f>
        <v/>
      </c>
      <c r="G1812" t="str">
        <f>"8237.00"</f>
        <v>8237.00</v>
      </c>
      <c r="H1812" t="str">
        <f>"Consorzio di bonifica Bacchiglione"</f>
        <v>Consorzio di bonifica Bacchiglione</v>
      </c>
      <c r="I1812" t="str">
        <f>"92223390284"</f>
        <v>92223390284</v>
      </c>
      <c r="J1812" t="str">
        <f>"23-AFFIDAMENTO DIRETTO"</f>
        <v>23-AFFIDAMENTO DIRETTO</v>
      </c>
      <c r="K1812" t="str">
        <f>"29/07/2021"</f>
        <v>29/07/2021</v>
      </c>
      <c r="L1812" t="str">
        <f>"14/10/2021"</f>
        <v>14/10/2021</v>
      </c>
      <c r="M1812" t="str">
        <f>""</f>
        <v/>
      </c>
      <c r="N1812" t="str">
        <f>"F.lli Pastore S.R.L. Via Pozzoveggiani 34-3 Salboro PD | Office Project General Architecture srl Via Flacco Valerio 61 35031 Abano Terme PD"</f>
        <v>F.lli Pastore S.R.L. Via Pozzoveggiani 34-3 Salboro PD | Office Project General Architecture srl Via Flacco Valerio 61 35031 Abano Terme PD</v>
      </c>
      <c r="O1812" t="str">
        <f>"Office Project General Architecture srl Via Flacco Valerio 61 35031 Abano Terme PD"</f>
        <v>Office Project General Architecture srl Via Flacco Valerio 61 35031 Abano Terme PD</v>
      </c>
      <c r="P1812" t="str">
        <f>"Z011ACE02E: [8237.00€ ]"</f>
        <v>Z011ACE02E: [8237.00€ ]</v>
      </c>
      <c r="Q1812" t="str">
        <f>""</f>
        <v/>
      </c>
      <c r="R1812" t="str">
        <f>""</f>
        <v/>
      </c>
      <c r="S1812" t="str">
        <f>""</f>
        <v/>
      </c>
      <c r="T1812" t="str">
        <f>"https://portaletrasparenza.consorziobacchiglione.it/dettagli/attodigara/630/fornitura-e-posa-pavimento-e-rivestimento-su-porzione-sede-consorziale.html"</f>
        <v>https://portaletrasparenza.consorziobacchiglione.it/dettagli/attodigara/630/fornitura-e-posa-pavimento-e-rivestimento-su-porzione-sede-consorziale.html</v>
      </c>
      <c r="U1812" t="str">
        <f>""</f>
        <v/>
      </c>
      <c r="V18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13" spans="1:22" x14ac:dyDescent="0.3">
      <c r="A1813" t="str">
        <f>"Affidamento"</f>
        <v>Affidamento</v>
      </c>
      <c r="B1813" t="str">
        <f>"Somme in diretta amministrazione - Lavori di assistenza per spostamento linee aeree e di sottoservizi presenti nella zona di via Ca' Panosso- Via Rienza e ripristini manufatti a ditte espropriate - Processo ID 006-03."</f>
        <v>Somme in diretta amministrazione - Lavori di assistenza per spostamento linee aeree e di sottoservizi presenti nella zona di via Ca' Panosso- Via Rienza e ripristini manufatti a ditte espropriate - Processo ID 006-03.</v>
      </c>
      <c r="C1813" t="str">
        <f>"Z151ACFA29"</f>
        <v>Z151ACFA29</v>
      </c>
      <c r="D1813" t="str">
        <f>"04/11/2021"</f>
        <v>04/11/2021</v>
      </c>
      <c r="E1813" t="str">
        <f>""</f>
        <v/>
      </c>
      <c r="F1813" t="str">
        <f>""</f>
        <v/>
      </c>
      <c r="G1813" t="str">
        <f>"38350.00"</f>
        <v>38350.00</v>
      </c>
      <c r="H1813" t="str">
        <f>"Consorzio di bonifica Bacchiglione"</f>
        <v>Consorzio di bonifica Bacchiglione</v>
      </c>
      <c r="I1813" t="str">
        <f>"92223390284"</f>
        <v>92223390284</v>
      </c>
      <c r="J1813" t="str">
        <f>"23-AFFIDAMENTO DIRETTO"</f>
        <v>23-AFFIDAMENTO DIRETTO</v>
      </c>
      <c r="K1813" t="str">
        <f>"29/07/2021"</f>
        <v>29/07/2021</v>
      </c>
      <c r="L1813" t="str">
        <f>"15/09/2021"</f>
        <v>15/09/2021</v>
      </c>
      <c r="M1813" t="str">
        <f>""</f>
        <v/>
      </c>
      <c r="N1813" t="str">
        <f>"Costruzioni Ing. Carlo Broetto s.r.l. con Unico Socio"</f>
        <v>Costruzioni Ing. Carlo Broetto s.r.l. con Unico Socio</v>
      </c>
      <c r="O1813" t="str">
        <f>"Costruzioni Ing. Carlo Broetto s.r.l. con Unico Socio"</f>
        <v>Costruzioni Ing. Carlo Broetto s.r.l. con Unico Socio</v>
      </c>
      <c r="P1813" t="str">
        <f>"Z151ACFA29: [38350.00€ ]"</f>
        <v>Z151ACFA29: [38350.00€ ]</v>
      </c>
      <c r="Q1813" t="str">
        <f>""</f>
        <v/>
      </c>
      <c r="R1813" t="str">
        <f>""</f>
        <v/>
      </c>
      <c r="S1813" t="str">
        <f>""</f>
        <v/>
      </c>
      <c r="T1813" t="s">
        <v>44</v>
      </c>
      <c r="U1813" t="str">
        <f>""</f>
        <v/>
      </c>
      <c r="V181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14" spans="1:22" x14ac:dyDescent="0.3">
      <c r="A1814" t="str">
        <f>"Affidamento"</f>
        <v>Affidamento</v>
      </c>
      <c r="B1814" t="str">
        <f>"Affidamento consulenza e sorveglianza sanitaria, per lavoratori consorziali, per l'anno 2016."</f>
        <v>Affidamento consulenza e sorveglianza sanitaria, per lavoratori consorziali, per l'anno 2016.</v>
      </c>
      <c r="C1814" t="str">
        <f>"Z2C1ACFD6B"</f>
        <v>Z2C1ACFD6B</v>
      </c>
      <c r="D1814" t="str">
        <f>"04/11/2021"</f>
        <v>04/11/2021</v>
      </c>
      <c r="E1814" t="str">
        <f>""</f>
        <v/>
      </c>
      <c r="F1814" t="str">
        <f>""</f>
        <v/>
      </c>
      <c r="G1814" t="str">
        <f>"9000.00"</f>
        <v>9000.00</v>
      </c>
      <c r="H1814" t="str">
        <f>"Consorzio di bonifica Bacchiglione"</f>
        <v>Consorzio di bonifica Bacchiglione</v>
      </c>
      <c r="I1814" t="str">
        <f>"92223390284"</f>
        <v>92223390284</v>
      </c>
      <c r="J1814" t="str">
        <f>"23-AFFIDAMENTO DIRETTO"</f>
        <v>23-AFFIDAMENTO DIRETTO</v>
      </c>
      <c r="K1814" t="str">
        <f>"29/07/2021"</f>
        <v>29/07/2021</v>
      </c>
      <c r="L1814" t="str">
        <f>"10/09/2021"</f>
        <v>10/09/2021</v>
      </c>
      <c r="M1814" t="str">
        <f>""</f>
        <v/>
      </c>
      <c r="N1814" t="str">
        <f>"Scarsi dott. Marco Via U. Giordano 49 35031 Abano Terme PD"</f>
        <v>Scarsi dott. Marco Via U. Giordano 49 35031 Abano Terme PD</v>
      </c>
      <c r="O1814" t="str">
        <f>"Scarsi dott. Marco Via U. Giordano 49 35031 Abano Terme PD"</f>
        <v>Scarsi dott. Marco Via U. Giordano 49 35031 Abano Terme PD</v>
      </c>
      <c r="P1814" t="str">
        <f>"Z2C1ACFD6B: [8900.00€ ]"</f>
        <v>Z2C1ACFD6B: [8900.00€ ]</v>
      </c>
      <c r="Q1814" t="str">
        <f>""</f>
        <v/>
      </c>
      <c r="R1814" t="str">
        <f>""</f>
        <v/>
      </c>
      <c r="S1814" t="str">
        <f>""</f>
        <v/>
      </c>
      <c r="T1814" t="str">
        <f>"https://portaletrasparenza.consorziobacchiglione.it/dettagli/attodigara/631/affidamento-consulenza-e-sorveglianza-sanitaria-per-lavoratori-consorziali-per-l-anno-2016.html"</f>
        <v>https://portaletrasparenza.consorziobacchiglione.it/dettagli/attodigara/631/affidamento-consulenza-e-sorveglianza-sanitaria-per-lavoratori-consorziali-per-l-anno-2016.html</v>
      </c>
      <c r="U1814" t="str">
        <f>""</f>
        <v/>
      </c>
      <c r="V1814">
        <f>(SUBSTITUTE(Tabella1[[#This Row],[Importo di aggiudicazione]],".",","))-(SUBSTITUTE(  SUBSTITUTE(          SUBSTITUTE(Tabella1[[#This Row],[Dettaglio somme liquidate]],Tabella1[[#This Row],[CIG]]&amp;": [",""),"€ ]",""),".",","))</f>
        <v>100</v>
      </c>
    </row>
    <row r="1815" spans="1:22" x14ac:dyDescent="0.3">
      <c r="A1815" t="str">
        <f>"Affidamento"</f>
        <v>Affidamento</v>
      </c>
      <c r="B1815" t="str">
        <f>"Manutenzione e riparazione mezzo con targa: EP107XC, DN881SC"</f>
        <v>Manutenzione e riparazione mezzo con targa: EP107XC, DN881SC</v>
      </c>
      <c r="C1815" t="str">
        <f>"ZAF32A16F9"</f>
        <v>ZAF32A16F9</v>
      </c>
      <c r="D1815" t="str">
        <f>"29/07/2021"</f>
        <v>29/07/2021</v>
      </c>
      <c r="E1815" t="str">
        <f>""</f>
        <v/>
      </c>
      <c r="F1815" t="str">
        <f>""</f>
        <v/>
      </c>
      <c r="G1815" t="str">
        <f>"838.95"</f>
        <v>838.95</v>
      </c>
      <c r="H1815" t="str">
        <f>"Consorzio di bonifica Bacchiglione"</f>
        <v>Consorzio di bonifica Bacchiglione</v>
      </c>
      <c r="I1815" t="str">
        <f>"92223390284"</f>
        <v>92223390284</v>
      </c>
      <c r="J1815" t="str">
        <f>"23-AFFIDAMENTO DIRETTO"</f>
        <v>23-AFFIDAMENTO DIRETTO</v>
      </c>
      <c r="K1815" t="str">
        <f>"29/07/2021"</f>
        <v>29/07/2021</v>
      </c>
      <c r="L1815" t="str">
        <f>"03/08/2021"</f>
        <v>03/08/2021</v>
      </c>
      <c r="M1815" t="str">
        <f>""</f>
        <v/>
      </c>
      <c r="N1815" t="str">
        <f>"Officina Autotreni Carraro Franco srl Via Gelsi 79 35028 Piove di Sacco PD"</f>
        <v>Officina Autotreni Carraro Franco srl Via Gelsi 79 35028 Piove di Sacco PD</v>
      </c>
      <c r="O1815" t="str">
        <f>"Officina Autotreni Carraro Franco srl Via Gelsi 79 35028 Piove di Sacco PD"</f>
        <v>Officina Autotreni Carraro Franco srl Via Gelsi 79 35028 Piove di Sacco PD</v>
      </c>
      <c r="P1815" t="str">
        <f>"ZAF32A16F9: [838.95€ ]"</f>
        <v>ZAF32A16F9: [838.95€ ]</v>
      </c>
      <c r="Q1815" t="str">
        <f>""</f>
        <v/>
      </c>
      <c r="R1815" t="str">
        <f>""</f>
        <v/>
      </c>
      <c r="S1815" t="str">
        <f>""</f>
        <v/>
      </c>
      <c r="T1815" t="str">
        <f>"https://portaletrasparenza.consorziobacchiglione.it/dettagli/attodigara/7047/manutenzione-e-riparazione-mezzo-con-targa-ep107xc-dn881sc.html"</f>
        <v>https://portaletrasparenza.consorziobacchiglione.it/dettagli/attodigara/7047/manutenzione-e-riparazione-mezzo-con-targa-ep107xc-dn881sc.html</v>
      </c>
      <c r="U1815" t="str">
        <f>"https://portaletrasparenza.consorziobacchiglione.it/download/attodigara/7047/63ac45b060fd2.PDF"</f>
        <v>https://portaletrasparenza.consorziobacchiglione.it/download/attodigara/7047/63ac45b060fd2.PDF</v>
      </c>
      <c r="V181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16" spans="1:22" x14ac:dyDescent="0.3">
      <c r="A1816" t="str">
        <f>"Affidamento"</f>
        <v>Affidamento</v>
      </c>
      <c r="B1816" t="str">
        <f>"Fornitura ricambi per trattore Valtra targato: AKS633 e decespugliatore Husvarna"</f>
        <v>Fornitura ricambi per trattore Valtra targato: AKS633 e decespugliatore Husvarna</v>
      </c>
      <c r="C1816" t="str">
        <f>"Z0B32A14EE"</f>
        <v>Z0B32A14EE</v>
      </c>
      <c r="D1816" t="str">
        <f>"29/07/2021"</f>
        <v>29/07/2021</v>
      </c>
      <c r="E1816" t="str">
        <f>""</f>
        <v/>
      </c>
      <c r="F1816" t="str">
        <f>""</f>
        <v/>
      </c>
      <c r="G1816" t="str">
        <f>"104.30"</f>
        <v>104.30</v>
      </c>
      <c r="H1816" t="str">
        <f>"Consorzio di bonifica Bacchiglione"</f>
        <v>Consorzio di bonifica Bacchiglione</v>
      </c>
      <c r="I1816" t="str">
        <f>"92223390284"</f>
        <v>92223390284</v>
      </c>
      <c r="J1816" t="str">
        <f>"23-AFFIDAMENTO DIRETTO"</f>
        <v>23-AFFIDAMENTO DIRETTO</v>
      </c>
      <c r="K1816" t="str">
        <f>"29/07/2021"</f>
        <v>29/07/2021</v>
      </c>
      <c r="L1816" t="str">
        <f>"31/08/2021"</f>
        <v>31/08/2021</v>
      </c>
      <c r="M1816" t="str">
        <f>""</f>
        <v/>
      </c>
      <c r="N1816" t="str">
        <f>"Gaiani Rino SAS di Gaiani Annalisa E C.Via Antoniana 102 35011 Campodarsego PD"</f>
        <v>Gaiani Rino SAS di Gaiani Annalisa E C.Via Antoniana 102 35011 Campodarsego PD</v>
      </c>
      <c r="O1816" t="str">
        <f>"Gaiani Rino SAS di Gaiani Annalisa E C.Via Antoniana 102 35011 Campodarsego PD"</f>
        <v>Gaiani Rino SAS di Gaiani Annalisa E C.Via Antoniana 102 35011 Campodarsego PD</v>
      </c>
      <c r="P1816" t="str">
        <f>"Z0B32A14EE: [104.30€ ]"</f>
        <v>Z0B32A14EE: [104.30€ ]</v>
      </c>
      <c r="Q1816" t="str">
        <f>""</f>
        <v/>
      </c>
      <c r="R1816" t="str">
        <f>""</f>
        <v/>
      </c>
      <c r="S1816" t="str">
        <f>""</f>
        <v/>
      </c>
      <c r="T1816" t="str">
        <f>"https://portaletrasparenza.consorziobacchiglione.it/dettagli/attodigara/7046/fornitura-ricambi-per-trattore-valtra-targato-aks633-e-decespugliatore-husvarna.html"</f>
        <v>https://portaletrasparenza.consorziobacchiglione.it/dettagli/attodigara/7046/fornitura-ricambi-per-trattore-valtra-targato-aks633-e-decespugliatore-husvarna.html</v>
      </c>
      <c r="U1816" t="str">
        <f>"https://portaletrasparenza.consorziobacchiglione.it/download/attodigara/7046/63ac45b027bbc.PDF"</f>
        <v>https://portaletrasparenza.consorziobacchiglione.it/download/attodigara/7046/63ac45b027bbc.PDF</v>
      </c>
      <c r="V181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17" spans="1:22" x14ac:dyDescent="0.3">
      <c r="A1817" t="str">
        <f>"Affidamento"</f>
        <v>Affidamento</v>
      </c>
      <c r="B1817" t="str">
        <f>"Manutenzione e riparazione mezzi targati: ALA152, AKS633"</f>
        <v>Manutenzione e riparazione mezzi targati: ALA152, AKS633</v>
      </c>
      <c r="C1817" t="str">
        <f>"ZF632A0EA8"</f>
        <v>ZF632A0EA8</v>
      </c>
      <c r="D1817" t="str">
        <f>"29/07/2021"</f>
        <v>29/07/2021</v>
      </c>
      <c r="E1817" t="str">
        <f>""</f>
        <v/>
      </c>
      <c r="F1817" t="str">
        <f>""</f>
        <v/>
      </c>
      <c r="G1817" t="str">
        <f>"2008.93"</f>
        <v>2008.93</v>
      </c>
      <c r="H1817" t="str">
        <f>"Consorzio di bonifica Bacchiglione"</f>
        <v>Consorzio di bonifica Bacchiglione</v>
      </c>
      <c r="I1817" t="str">
        <f>"92223390284"</f>
        <v>92223390284</v>
      </c>
      <c r="J1817" t="str">
        <f>"23-AFFIDAMENTO DIRETTO"</f>
        <v>23-AFFIDAMENTO DIRETTO</v>
      </c>
      <c r="K1817" t="str">
        <f>"29/07/2021"</f>
        <v>29/07/2021</v>
      </c>
      <c r="L1817" t="str">
        <f>"19/08/2021"</f>
        <v>19/08/2021</v>
      </c>
      <c r="M1817" t="str">
        <f>""</f>
        <v/>
      </c>
      <c r="N1817" t="str">
        <f>"Adriatica Commerciale Macchine s.r.l. Via dell'Artigianato 5 35020 Due Carrare PD"</f>
        <v>Adriatica Commerciale Macchine s.r.l. Via dell'Artigianato 5 35020 Due Carrare PD</v>
      </c>
      <c r="O1817" t="str">
        <f>"Adriatica Commerciale Macchine s.r.l. Via dell'Artigianato 5 35020 Due Carrare PD"</f>
        <v>Adriatica Commerciale Macchine s.r.l. Via dell'Artigianato 5 35020 Due Carrare PD</v>
      </c>
      <c r="P1817" t="str">
        <f>"ZF632A0EA8: [2008.93€ ]"</f>
        <v>ZF632A0EA8: [2008.93€ ]</v>
      </c>
      <c r="Q1817" t="str">
        <f>""</f>
        <v/>
      </c>
      <c r="R1817" t="str">
        <f>""</f>
        <v/>
      </c>
      <c r="S1817" t="str">
        <f>""</f>
        <v/>
      </c>
      <c r="T1817" t="str">
        <f>"https://portaletrasparenza.consorziobacchiglione.it/dettagli/attodigara/7045/manutenzione-e-riparazione-mezzi-targati-ala152-aks633.html"</f>
        <v>https://portaletrasparenza.consorziobacchiglione.it/dettagli/attodigara/7045/manutenzione-e-riparazione-mezzi-targati-ala152-aks633.html</v>
      </c>
      <c r="U1817" t="str">
        <f>"https://portaletrasparenza.consorziobacchiglione.it/download/attodigara/7045/63ac45afe1b07.PDF"</f>
        <v>https://portaletrasparenza.consorziobacchiglione.it/download/attodigara/7045/63ac45afe1b07.PDF</v>
      </c>
      <c r="V181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18" spans="1:22" x14ac:dyDescent="0.3">
      <c r="A1818" t="str">
        <f>"Affidamento"</f>
        <v>Affidamento</v>
      </c>
      <c r="B1818" t="str">
        <f>"Fornitura ricambi per bracci decespugliatori presso Bacino Pratiarcati e Montà Portello"</f>
        <v>Fornitura ricambi per bracci decespugliatori presso Bacino Pratiarcati e Montà Portello</v>
      </c>
      <c r="C1818" t="str">
        <f>"Z1C32A07DD"</f>
        <v>Z1C32A07DD</v>
      </c>
      <c r="D1818" t="str">
        <f>"29/07/2021"</f>
        <v>29/07/2021</v>
      </c>
      <c r="E1818" t="str">
        <f>""</f>
        <v/>
      </c>
      <c r="F1818" t="str">
        <f>""</f>
        <v/>
      </c>
      <c r="G1818" t="str">
        <f>"1896.75"</f>
        <v>1896.75</v>
      </c>
      <c r="H1818" t="str">
        <f>"Consorzio di bonifica Bacchiglione"</f>
        <v>Consorzio di bonifica Bacchiglione</v>
      </c>
      <c r="I1818" t="str">
        <f>"92223390284"</f>
        <v>92223390284</v>
      </c>
      <c r="J1818" t="str">
        <f>"23-AFFIDAMENTO DIRETTO"</f>
        <v>23-AFFIDAMENTO DIRETTO</v>
      </c>
      <c r="K1818" t="str">
        <f>"29/07/2021"</f>
        <v>29/07/2021</v>
      </c>
      <c r="L1818" t="str">
        <f>"03/08/2021"</f>
        <v>03/08/2021</v>
      </c>
      <c r="M1818" t="str">
        <f>""</f>
        <v/>
      </c>
      <c r="N1818" t="str">
        <f>"Hymach s.r.l. Viale del Commercio 73 45039 Stienta RO"</f>
        <v>Hymach s.r.l. Viale del Commercio 73 45039 Stienta RO</v>
      </c>
      <c r="O1818" t="str">
        <f>"Hymach s.r.l. Viale del Commercio 73 45039 Stienta RO"</f>
        <v>Hymach s.r.l. Viale del Commercio 73 45039 Stienta RO</v>
      </c>
      <c r="P1818" t="str">
        <f>"Z1C32A07DD: [1896.75€ ]"</f>
        <v>Z1C32A07DD: [1896.75€ ]</v>
      </c>
      <c r="Q1818" t="str">
        <f>""</f>
        <v/>
      </c>
      <c r="R1818" t="str">
        <f>""</f>
        <v/>
      </c>
      <c r="S1818" t="str">
        <f>""</f>
        <v/>
      </c>
      <c r="T1818" t="str">
        <f>"https://portaletrasparenza.consorziobacchiglione.it/dettagli/attodigara/7044/fornitura-ricambi-per-bracci-decespugliatori-presso-bacino-pratiarcati-e-monta-portello.html"</f>
        <v>https://portaletrasparenza.consorziobacchiglione.it/dettagli/attodigara/7044/fornitura-ricambi-per-bracci-decespugliatori-presso-bacino-pratiarcati-e-monta-portello.html</v>
      </c>
      <c r="U1818" t="str">
        <f>"https://portaletrasparenza.consorziobacchiglione.it/download/attodigara/7044/63ac45afa7aaf.PDF"</f>
        <v>https://portaletrasparenza.consorziobacchiglione.it/download/attodigara/7044/63ac45afa7aaf.PDF</v>
      </c>
      <c r="V181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19" spans="1:22" x14ac:dyDescent="0.3">
      <c r="A1819" t="str">
        <f>"Affidamento"</f>
        <v>Affidamento</v>
      </c>
      <c r="B1819" t="str">
        <f>"Fornitura n 2 pneumatici posteriori per mezzo con targa: AJR631"</f>
        <v>Fornitura n 2 pneumatici posteriori per mezzo con targa: AJR631</v>
      </c>
      <c r="C1819" t="str">
        <f>"Z031B00A96"</f>
        <v>Z031B00A96</v>
      </c>
      <c r="D1819" t="str">
        <f>"04/11/2021"</f>
        <v>04/11/2021</v>
      </c>
      <c r="E1819" t="str">
        <f>""</f>
        <v/>
      </c>
      <c r="F1819" t="str">
        <f>""</f>
        <v/>
      </c>
      <c r="G1819" t="str">
        <f>"2866.80"</f>
        <v>2866.80</v>
      </c>
      <c r="H1819" t="str">
        <f>"Consorzio di bonifica Bacchiglione"</f>
        <v>Consorzio di bonifica Bacchiglione</v>
      </c>
      <c r="I1819" t="str">
        <f>"92223390284"</f>
        <v>92223390284</v>
      </c>
      <c r="J1819" t="str">
        <f>"23-AFFIDAMENTO DIRETTO"</f>
        <v>23-AFFIDAMENTO DIRETTO</v>
      </c>
      <c r="K1819" t="str">
        <f>"29/08/2021"</f>
        <v>29/08/2021</v>
      </c>
      <c r="L1819" t="str">
        <f>"05/10/2021"</f>
        <v>05/10/2021</v>
      </c>
      <c r="M1819" t="str">
        <f>""</f>
        <v/>
      </c>
      <c r="N1819" t="str">
        <f>"Galesso Roberto Via San Rocco 52B 35028 Piove di Sacco PD"</f>
        <v>Galesso Roberto Via San Rocco 52B 35028 Piove di Sacco PD</v>
      </c>
      <c r="O1819" t="str">
        <f>"Galesso Roberto Via San Rocco 52B 35028 Piove di Sacco PD"</f>
        <v>Galesso Roberto Via San Rocco 52B 35028 Piove di Sacco PD</v>
      </c>
      <c r="P1819" t="str">
        <f>"Z031B00A96: [2866.80€ ]"</f>
        <v>Z031B00A96: [2866.80€ ]</v>
      </c>
      <c r="Q1819" t="str">
        <f>""</f>
        <v/>
      </c>
      <c r="R1819" t="str">
        <f>""</f>
        <v/>
      </c>
      <c r="S1819" t="str">
        <f>""</f>
        <v/>
      </c>
      <c r="T1819" t="str">
        <f>"https://portaletrasparenza.consorziobacchiglione.it/dettagli/attodigara/701/fornitura-n-2-pneumatici-posteriori-per-mezzo-con-targa-ajr631.html"</f>
        <v>https://portaletrasparenza.consorziobacchiglione.it/dettagli/attodigara/701/fornitura-n-2-pneumatici-posteriori-per-mezzo-con-targa-ajr631.html</v>
      </c>
      <c r="U1819" t="str">
        <f>""</f>
        <v/>
      </c>
      <c r="V181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20" spans="1:22" x14ac:dyDescent="0.3">
      <c r="A1820" t="str">
        <f>"Affidamento"</f>
        <v>Affidamento</v>
      </c>
      <c r="B1820" t="str">
        <f>"Fornitura sabbia sottofondo per lavori Idrovora Vaso Cavaizze."</f>
        <v>Fornitura sabbia sottofondo per lavori Idrovora Vaso Cavaizze.</v>
      </c>
      <c r="C1820" t="str">
        <f>"Z5B1B004E4"</f>
        <v>Z5B1B004E4</v>
      </c>
      <c r="D1820" t="str">
        <f>"04/11/2021"</f>
        <v>04/11/2021</v>
      </c>
      <c r="E1820" t="str">
        <f>""</f>
        <v/>
      </c>
      <c r="F1820" t="str">
        <f>""</f>
        <v/>
      </c>
      <c r="G1820" t="str">
        <f>"144.75"</f>
        <v>144.75</v>
      </c>
      <c r="H1820" t="str">
        <f>"Consorzio di bonifica Bacchiglione"</f>
        <v>Consorzio di bonifica Bacchiglione</v>
      </c>
      <c r="I1820" t="str">
        <f>"92223390284"</f>
        <v>92223390284</v>
      </c>
      <c r="J1820" t="str">
        <f>"23-AFFIDAMENTO DIRETTO"</f>
        <v>23-AFFIDAMENTO DIRETTO</v>
      </c>
      <c r="K1820" t="str">
        <f>"29/08/2021"</f>
        <v>29/08/2021</v>
      </c>
      <c r="L1820" t="str">
        <f>"29/09/2021"</f>
        <v>29/09/2021</v>
      </c>
      <c r="M1820" t="str">
        <f>""</f>
        <v/>
      </c>
      <c r="N1820" t="str">
        <f>"Zagolin Giovanni s.r.l. Via Gelsi 56 35028 Piove di Sacco PD"</f>
        <v>Zagolin Giovanni s.r.l. Via Gelsi 56 35028 Piove di Sacco PD</v>
      </c>
      <c r="O1820" t="str">
        <f>"Zagolin Giovanni s.r.l. Via Gelsi 56 35028 Piove di Sacco PD"</f>
        <v>Zagolin Giovanni s.r.l. Via Gelsi 56 35028 Piove di Sacco PD</v>
      </c>
      <c r="P1820" t="str">
        <f>"Z5B1B004E4: [144.75€ ]"</f>
        <v>Z5B1B004E4: [144.75€ ]</v>
      </c>
      <c r="Q1820" t="str">
        <f>""</f>
        <v/>
      </c>
      <c r="R1820" t="str">
        <f>""</f>
        <v/>
      </c>
      <c r="S1820" t="str">
        <f>""</f>
        <v/>
      </c>
      <c r="T1820" t="str">
        <f>"https://portaletrasparenza.consorziobacchiglione.it/dettagli/attodigara/700/fornitura-sabbia-sottofondo-per-lavori-idrovora-vaso-cavaizze.html"</f>
        <v>https://portaletrasparenza.consorziobacchiglione.it/dettagli/attodigara/700/fornitura-sabbia-sottofondo-per-lavori-idrovora-vaso-cavaizze.html</v>
      </c>
      <c r="U1820" t="str">
        <f>""</f>
        <v/>
      </c>
      <c r="V182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21" spans="1:22" x14ac:dyDescent="0.3">
      <c r="A1821" t="str">
        <f>"Affidamento"</f>
        <v>Affidamento</v>
      </c>
      <c r="B1821" t="str">
        <f>"Fornitura n 3 carrello pirodiserbo a 2 ruote per bombola da 15/25 KG per C.O.S.Margherita."</f>
        <v>Fornitura n 3 carrello pirodiserbo a 2 ruote per bombola da 15/25 KG per C.O.S.Margherita.</v>
      </c>
      <c r="C1821" t="str">
        <f>"ZBD1AFFA0C"</f>
        <v>ZBD1AFFA0C</v>
      </c>
      <c r="D1821" t="str">
        <f>"04/11/2021"</f>
        <v>04/11/2021</v>
      </c>
      <c r="E1821" t="str">
        <f>""</f>
        <v/>
      </c>
      <c r="F1821" t="str">
        <f>""</f>
        <v/>
      </c>
      <c r="G1821" t="str">
        <f>"627.05"</f>
        <v>627.05</v>
      </c>
      <c r="H1821" t="str">
        <f>"Consorzio di bonifica Bacchiglione"</f>
        <v>Consorzio di bonifica Bacchiglione</v>
      </c>
      <c r="I1821" t="str">
        <f>"92223390284"</f>
        <v>92223390284</v>
      </c>
      <c r="J1821" t="str">
        <f>"23-AFFIDAMENTO DIRETTO"</f>
        <v>23-AFFIDAMENTO DIRETTO</v>
      </c>
      <c r="K1821" t="str">
        <f>"29/08/2021"</f>
        <v>29/08/2021</v>
      </c>
      <c r="L1821" t="str">
        <f>"05/10/2021"</f>
        <v>05/10/2021</v>
      </c>
      <c r="M1821" t="str">
        <f>""</f>
        <v/>
      </c>
      <c r="N1821" t="str">
        <f>"Frizzarin Marcello e C. s.n.c. Via Roma 1e 35020 Albignasego PD"</f>
        <v>Frizzarin Marcello e C. s.n.c. Via Roma 1e 35020 Albignasego PD</v>
      </c>
      <c r="O1821" t="str">
        <f>"Frizzarin Marcello e C. s.n.c. Via Roma 1e 35020 Albignasego PD"</f>
        <v>Frizzarin Marcello e C. s.n.c. Via Roma 1e 35020 Albignasego PD</v>
      </c>
      <c r="P1821" t="str">
        <f>"ZBD1AFFA0C: [627.05€ ]"</f>
        <v>ZBD1AFFA0C: [627.05€ ]</v>
      </c>
      <c r="Q1821" t="str">
        <f>""</f>
        <v/>
      </c>
      <c r="R1821" t="str">
        <f>""</f>
        <v/>
      </c>
      <c r="S1821" t="str">
        <f>""</f>
        <v/>
      </c>
      <c r="T1821" t="str">
        <f>"https://portaletrasparenza.consorziobacchiglione.it/dettagli/attodigara/699/fornitura-n-3-carrello-pirodiserbo-a-2-ruote-per-bombola-da-15-25-kg-per-c-o-s-margherita.html"</f>
        <v>https://portaletrasparenza.consorziobacchiglione.it/dettagli/attodigara/699/fornitura-n-3-carrello-pirodiserbo-a-2-ruote-per-bombola-da-15-25-kg-per-c-o-s-margherita.html</v>
      </c>
      <c r="U1821" t="str">
        <f>""</f>
        <v/>
      </c>
      <c r="V182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22" spans="1:22" x14ac:dyDescent="0.3">
      <c r="A1822" t="str">
        <f>"Affidamento"</f>
        <v>Affidamento</v>
      </c>
      <c r="B1822" t="str">
        <f>"Riparazione e manutenzione mezzi con targa : PDAH521, PDAH662, PDAF496, Motobarca n. 4 - 5 - 6."</f>
        <v>Riparazione e manutenzione mezzi con targa : PDAH521, PDAH662, PDAF496, Motobarca n. 4 - 5 - 6.</v>
      </c>
      <c r="C1822" t="str">
        <f>"Z361B5E1D2"</f>
        <v>Z361B5E1D2</v>
      </c>
      <c r="D1822" t="str">
        <f>"04/11/2021"</f>
        <v>04/11/2021</v>
      </c>
      <c r="E1822" t="str">
        <f>""</f>
        <v/>
      </c>
      <c r="F1822" t="str">
        <f>""</f>
        <v/>
      </c>
      <c r="G1822" t="str">
        <f>"771.22"</f>
        <v>771.22</v>
      </c>
      <c r="H1822" t="str">
        <f>"Consorzio di bonifica Bacchiglione"</f>
        <v>Consorzio di bonifica Bacchiglione</v>
      </c>
      <c r="I1822" t="str">
        <f>"92223390284"</f>
        <v>92223390284</v>
      </c>
      <c r="J1822" t="str">
        <f>"23-AFFIDAMENTO DIRETTO"</f>
        <v>23-AFFIDAMENTO DIRETTO</v>
      </c>
      <c r="K1822" t="str">
        <f>"29/09/2021"</f>
        <v>29/09/2021</v>
      </c>
      <c r="L1822" t="str">
        <f>"30/11/2021"</f>
        <v>30/11/2021</v>
      </c>
      <c r="M1822" t="str">
        <f>""</f>
        <v/>
      </c>
      <c r="N1822" t="str">
        <f>"Officina Biesse S.n.c. Via Matteotti 24 35020 Arzergrande PD"</f>
        <v>Officina Biesse S.n.c. Via Matteotti 24 35020 Arzergrande PD</v>
      </c>
      <c r="O1822" t="str">
        <f>"Officina Biesse S.n.c. Via Matteotti 24 35020 Arzergrande PD"</f>
        <v>Officina Biesse S.n.c. Via Matteotti 24 35020 Arzergrande PD</v>
      </c>
      <c r="P1822" t="str">
        <f>"Z361B5E1D2: [771.22€ ]"</f>
        <v>Z361B5E1D2: [771.22€ ]</v>
      </c>
      <c r="Q1822" t="str">
        <f>""</f>
        <v/>
      </c>
      <c r="R1822" t="str">
        <f>""</f>
        <v/>
      </c>
      <c r="S1822" t="str">
        <f>""</f>
        <v/>
      </c>
      <c r="T1822" t="str">
        <f>"https://portaletrasparenza.consorziobacchiglione.it/dettagli/attodigara/784/riparazione-e-manutenzione-mezzi-con-targa-pdah521-pdah662-pdaf496-motobarca-n-4-5-6.html"</f>
        <v>https://portaletrasparenza.consorziobacchiglione.it/dettagli/attodigara/784/riparazione-e-manutenzione-mezzi-con-targa-pdah521-pdah662-pdaf496-motobarca-n-4-5-6.html</v>
      </c>
      <c r="U1822" t="str">
        <f>""</f>
        <v/>
      </c>
      <c r="V182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23" spans="1:22" x14ac:dyDescent="0.3">
      <c r="A1823" t="str">
        <f>"Affidamento"</f>
        <v>Affidamento</v>
      </c>
      <c r="B1823" t="str">
        <f>"Fornitura Office Prof.2010 per nuovi PC Catasto."</f>
        <v>Fornitura Office Prof.2010 per nuovi PC Catasto.</v>
      </c>
      <c r="C1823" t="str">
        <f>"Z011B5E048"</f>
        <v>Z011B5E048</v>
      </c>
      <c r="D1823" t="str">
        <f>"04/11/2021"</f>
        <v>04/11/2021</v>
      </c>
      <c r="E1823" t="str">
        <f>""</f>
        <v/>
      </c>
      <c r="F1823" t="str">
        <f>""</f>
        <v/>
      </c>
      <c r="G1823" t="str">
        <f>"790.00"</f>
        <v>790.00</v>
      </c>
      <c r="H1823" t="str">
        <f>"Consorzio di bonifica Bacchiglione"</f>
        <v>Consorzio di bonifica Bacchiglione</v>
      </c>
      <c r="I1823" t="str">
        <f>"92223390284"</f>
        <v>92223390284</v>
      </c>
      <c r="J1823" t="str">
        <f>"23-AFFIDAMENTO DIRETTO"</f>
        <v>23-AFFIDAMENTO DIRETTO</v>
      </c>
      <c r="K1823" t="str">
        <f>"29/09/2021"</f>
        <v>29/09/2021</v>
      </c>
      <c r="L1823" t="str">
        <f>"14/10/2021"</f>
        <v>14/10/2021</v>
      </c>
      <c r="M1823" t="str">
        <f>""</f>
        <v/>
      </c>
      <c r="N1823" t="str">
        <f>"TPH Elettronica s.a.s. Via N. Pizzolo 51A 35132 Padova"</f>
        <v>TPH Elettronica s.a.s. Via N. Pizzolo 51A 35132 Padova</v>
      </c>
      <c r="O1823" t="str">
        <f>"TPH Elettronica s.a.s. Via N. Pizzolo 51A 35132 Padova"</f>
        <v>TPH Elettronica s.a.s. Via N. Pizzolo 51A 35132 Padova</v>
      </c>
      <c r="P1823" t="str">
        <f>"Z011B5E048: [790.00€ ]"</f>
        <v>Z011B5E048: [790.00€ ]</v>
      </c>
      <c r="Q1823" t="str">
        <f>""</f>
        <v/>
      </c>
      <c r="R1823" t="str">
        <f>""</f>
        <v/>
      </c>
      <c r="S1823" t="str">
        <f>""</f>
        <v/>
      </c>
      <c r="T1823" t="str">
        <f>"https://portaletrasparenza.consorziobacchiglione.it/dettagli/attodigara/783/fornitura-office-prof-2010-per-nuovi-pc-catasto.html"</f>
        <v>https://portaletrasparenza.consorziobacchiglione.it/dettagli/attodigara/783/fornitura-office-prof-2010-per-nuovi-pc-catasto.html</v>
      </c>
      <c r="U1823" t="str">
        <f>""</f>
        <v/>
      </c>
      <c r="V182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24" spans="1:22" x14ac:dyDescent="0.3">
      <c r="A1824" t="str">
        <f>"Affidamento"</f>
        <v>Affidamento</v>
      </c>
      <c r="B1824" t="str">
        <f>"Fornitura smerigliatrice Hitachi per Impianto Irriguo 2 Bacino e fornitura valvole automatiche per pompa del vuoto Idrovora S.Margherita."</f>
        <v>Fornitura smerigliatrice Hitachi per Impianto Irriguo 2 Bacino e fornitura valvole automatiche per pompa del vuoto Idrovora S.Margherita.</v>
      </c>
      <c r="C1824" t="str">
        <f>"Z8C1B5DF82"</f>
        <v>Z8C1B5DF82</v>
      </c>
      <c r="D1824" t="str">
        <f>"04/11/2021"</f>
        <v>04/11/2021</v>
      </c>
      <c r="E1824" t="str">
        <f>""</f>
        <v/>
      </c>
      <c r="F1824" t="str">
        <f>""</f>
        <v/>
      </c>
      <c r="G1824" t="str">
        <f>"541.60"</f>
        <v>541.60</v>
      </c>
      <c r="H1824" t="str">
        <f>"Consorzio di bonifica Bacchiglione"</f>
        <v>Consorzio di bonifica Bacchiglione</v>
      </c>
      <c r="I1824" t="str">
        <f>"92223390284"</f>
        <v>92223390284</v>
      </c>
      <c r="J1824" t="str">
        <f>"23-AFFIDAMENTO DIRETTO"</f>
        <v>23-AFFIDAMENTO DIRETTO</v>
      </c>
      <c r="K1824" t="str">
        <f>"29/09/2021"</f>
        <v>29/09/2021</v>
      </c>
      <c r="L1824" t="str">
        <f>"15/11/2021"</f>
        <v>15/11/2021</v>
      </c>
      <c r="M1824" t="str">
        <f>""</f>
        <v/>
      </c>
      <c r="N1824" t="str">
        <f>"Scarpa Sergio Elettromeccanica S.n.c. di Scarpa Paola E C. Via A. Vivaldi 7 35028 Piove di Sacco PD"</f>
        <v>Scarpa Sergio Elettromeccanica S.n.c. di Scarpa Paola E C. Via A. Vivaldi 7 35028 Piove di Sacco PD</v>
      </c>
      <c r="O1824" t="str">
        <f>"Scarpa Sergio Elettromeccanica S.n.c. di Scarpa Paola E C. Via A. Vivaldi 7 35028 Piove di Sacco PD"</f>
        <v>Scarpa Sergio Elettromeccanica S.n.c. di Scarpa Paola E C. Via A. Vivaldi 7 35028 Piove di Sacco PD</v>
      </c>
      <c r="P1824" t="str">
        <f>"Z8C1B5DF82: [541.60€ ]"</f>
        <v>Z8C1B5DF82: [541.60€ ]</v>
      </c>
      <c r="Q1824" t="str">
        <f>""</f>
        <v/>
      </c>
      <c r="R1824" t="str">
        <f>""</f>
        <v/>
      </c>
      <c r="S1824" t="str">
        <f>""</f>
        <v/>
      </c>
      <c r="T1824" t="str">
        <f>"https://portaletrasparenza.consorziobacchiglione.it/dettagli/attodigara/782/fornitura-smerigliatrice-hitachi-per-impianto-irriguo-2-bacino-e-fornitura-valvole-automatiche-per-pompa-del-vuoto-idrovora-s-margherita.html"</f>
        <v>https://portaletrasparenza.consorziobacchiglione.it/dettagli/attodigara/782/fornitura-smerigliatrice-hitachi-per-impianto-irriguo-2-bacino-e-fornitura-valvole-automatiche-per-pompa-del-vuoto-idrovora-s-margherita.html</v>
      </c>
      <c r="U1824" t="str">
        <f>""</f>
        <v/>
      </c>
      <c r="V182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25" spans="1:22" x14ac:dyDescent="0.3">
      <c r="A1825" t="str">
        <f>"Affidamento"</f>
        <v>Affidamento</v>
      </c>
      <c r="B1825" t="str">
        <f>"Affidamento servizio di aggiornamento della piattaforma di rendicontazione: modulo di reportistica per invio avvisi di pagamento mediante mail e PEC"</f>
        <v>Affidamento servizio di aggiornamento della piattaforma di rendicontazione: modulo di reportistica per invio avvisi di pagamento mediante mail e PEC</v>
      </c>
      <c r="C1825" t="str">
        <f>"ZA51B5E835"</f>
        <v>ZA51B5E835</v>
      </c>
      <c r="D1825" t="str">
        <f>"04/11/2021"</f>
        <v>04/11/2021</v>
      </c>
      <c r="E1825" t="str">
        <f>""</f>
        <v/>
      </c>
      <c r="F1825" t="str">
        <f>""</f>
        <v/>
      </c>
      <c r="G1825" t="str">
        <f>"624.00"</f>
        <v>624.00</v>
      </c>
      <c r="H1825" t="str">
        <f>"Consorzio di bonifica Bacchiglione"</f>
        <v>Consorzio di bonifica Bacchiglione</v>
      </c>
      <c r="I1825" t="str">
        <f>"92223390284"</f>
        <v>92223390284</v>
      </c>
      <c r="J1825" t="str">
        <f>"23-AFFIDAMENTO DIRETTO"</f>
        <v>23-AFFIDAMENTO DIRETTO</v>
      </c>
      <c r="K1825" t="str">
        <f>"29/09/2021"</f>
        <v>29/09/2021</v>
      </c>
      <c r="L1825" t="str">
        <f>"23/05/2021"</f>
        <v>23/05/2021</v>
      </c>
      <c r="M1825" t="str">
        <f>""</f>
        <v/>
      </c>
      <c r="N1825" t="str">
        <f>"STUDIO VERTIX"</f>
        <v>STUDIO VERTIX</v>
      </c>
      <c r="O1825" t="str">
        <f>"STUDIO VERTIX"</f>
        <v>STUDIO VERTIX</v>
      </c>
      <c r="P1825" t="str">
        <f>"ZA51B5E835: [624.00€ ]"</f>
        <v>ZA51B5E835: [624.00€ ]</v>
      </c>
      <c r="Q1825" t="str">
        <f>""</f>
        <v/>
      </c>
      <c r="R1825" t="str">
        <f>""</f>
        <v/>
      </c>
      <c r="S1825" t="str">
        <f>""</f>
        <v/>
      </c>
      <c r="T1825" t="str">
        <f>"https://portaletrasparenza.consorziobacchiglione.it/dettagli/attodigara/781/affidamento-servizio-di-aggiornamento-della-piattaforma-di-rendicontazione-modulo-di-reportistica-per-invio-avvisi-di-pagamento-mediante-mail-e-pec.html"</f>
        <v>https://portaletrasparenza.consorziobacchiglione.it/dettagli/attodigara/781/affidamento-servizio-di-aggiornamento-della-piattaforma-di-rendicontazione-modulo-di-reportistica-per-invio-avvisi-di-pagamento-mediante-mail-e-pec.html</v>
      </c>
      <c r="U1825" t="str">
        <f>""</f>
        <v/>
      </c>
      <c r="V182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26" spans="1:22" x14ac:dyDescent="0.3">
      <c r="A1826" t="str">
        <f>"Affidamento"</f>
        <v>Affidamento</v>
      </c>
      <c r="B1826" t="str">
        <f>"Sostituzione centralina GPS del mezzo targato: FZ296XV"</f>
        <v>Sostituzione centralina GPS del mezzo targato: FZ296XV</v>
      </c>
      <c r="C1826" t="str">
        <f>"Z92333D550"</f>
        <v>Z92333D550</v>
      </c>
      <c r="D1826" t="str">
        <f>"04/10/2021"</f>
        <v>04/10/2021</v>
      </c>
      <c r="E1826" t="str">
        <f>""</f>
        <v/>
      </c>
      <c r="F1826" t="str">
        <f>""</f>
        <v/>
      </c>
      <c r="G1826" t="str">
        <f>"490.00"</f>
        <v>490.00</v>
      </c>
      <c r="H1826" t="str">
        <f>"Consorzio di bonifica Bacchiglione"</f>
        <v>Consorzio di bonifica Bacchiglione</v>
      </c>
      <c r="I1826" t="str">
        <f>"92223390284"</f>
        <v>92223390284</v>
      </c>
      <c r="J1826" t="str">
        <f>"23-AFFIDAMENTO DIRETTO"</f>
        <v>23-AFFIDAMENTO DIRETTO</v>
      </c>
      <c r="K1826" t="str">
        <f>"29/09/2021"</f>
        <v>29/09/2021</v>
      </c>
      <c r="L1826" t="str">
        <f>"06/08/2022"</f>
        <v>06/08/2022</v>
      </c>
      <c r="M1826" t="str">
        <f>""</f>
        <v/>
      </c>
      <c r="N1826" t="str">
        <f>"Vise Elettrocar Via Montagnon 61 35028 Tognana di Piove di Sacco PD"</f>
        <v>Vise Elettrocar Via Montagnon 61 35028 Tognana di Piove di Sacco PD</v>
      </c>
      <c r="O1826" t="str">
        <f>"Vise Elettrocar Via Montagnon 61 35028 Tognana di Piove di Sacco PD"</f>
        <v>Vise Elettrocar Via Montagnon 61 35028 Tognana di Piove di Sacco PD</v>
      </c>
      <c r="P1826" t="str">
        <f>"Z92333D550: [490.00€ ]"</f>
        <v>Z92333D550: [490.00€ ]</v>
      </c>
      <c r="Q1826" t="str">
        <f>""</f>
        <v/>
      </c>
      <c r="R1826" t="str">
        <f>""</f>
        <v/>
      </c>
      <c r="S1826" t="str">
        <f>""</f>
        <v/>
      </c>
      <c r="T1826" t="str">
        <f>"https://portaletrasparenza.consorziobacchiglione.it/dettagli/attodigara/7180/sostituzione-centralina-gps-del-mezzo-targato-fz296xv.html"</f>
        <v>https://portaletrasparenza.consorziobacchiglione.it/dettagli/attodigara/7180/sostituzione-centralina-gps-del-mezzo-targato-fz296xv.html</v>
      </c>
      <c r="U1826" t="str">
        <f>"https://portaletrasparenza.consorziobacchiglione.it/download/attodigara/7180/63ac45d1c2438.PDF"</f>
        <v>https://portaletrasparenza.consorziobacchiglione.it/download/attodigara/7180/63ac45d1c2438.PDF</v>
      </c>
      <c r="V182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27" spans="1:22" x14ac:dyDescent="0.3">
      <c r="A1827" t="str">
        <f>"Affidamento"</f>
        <v>Affidamento</v>
      </c>
      <c r="B1827" t="str">
        <f>"Implementazione di un modulo Munera per la gestione informatizzata degli avvisi e solleciti non recapitati"</f>
        <v>Implementazione di un modulo Munera per la gestione informatizzata degli avvisi e solleciti non recapitati</v>
      </c>
      <c r="C1827" t="str">
        <f>"Z38333B922"</f>
        <v>Z38333B922</v>
      </c>
      <c r="D1827" t="str">
        <f>"29/09/2021"</f>
        <v>29/09/2021</v>
      </c>
      <c r="E1827" t="str">
        <f>""</f>
        <v/>
      </c>
      <c r="F1827" t="str">
        <f>""</f>
        <v/>
      </c>
      <c r="G1827" t="str">
        <f>"2485.60"</f>
        <v>2485.60</v>
      </c>
      <c r="H1827" t="str">
        <f>"Consorzio di bonifica Bacchiglione"</f>
        <v>Consorzio di bonifica Bacchiglione</v>
      </c>
      <c r="I1827" t="str">
        <f>"92223390284"</f>
        <v>92223390284</v>
      </c>
      <c r="J1827" t="str">
        <f>"23-AFFIDAMENTO DIRETTO"</f>
        <v>23-AFFIDAMENTO DIRETTO</v>
      </c>
      <c r="K1827" t="str">
        <f>"29/09/2021"</f>
        <v>29/09/2021</v>
      </c>
      <c r="L1827" t="str">
        <f>"21/12/2021"</f>
        <v>21/12/2021</v>
      </c>
      <c r="M1827" t="str">
        <f>""</f>
        <v/>
      </c>
      <c r="N1827" t="str">
        <f>"STUDIO VERTIX"</f>
        <v>STUDIO VERTIX</v>
      </c>
      <c r="O1827" t="str">
        <f>"STUDIO VERTIX"</f>
        <v>STUDIO VERTIX</v>
      </c>
      <c r="P1827" t="str">
        <f>"Z38333B922: [2485.60€ ]"</f>
        <v>Z38333B922: [2485.60€ ]</v>
      </c>
      <c r="Q1827" t="str">
        <f>""</f>
        <v/>
      </c>
      <c r="R1827" t="str">
        <f>""</f>
        <v/>
      </c>
      <c r="S1827" t="str">
        <f>""</f>
        <v/>
      </c>
      <c r="T1827" t="str">
        <f>"https://portaletrasparenza.consorziobacchiglione.it/dettagli/attodigara/7178/implementazione-di-un-modulo-munera-per-la-gestione-informatizzata-degli-avvisi-e-solleciti-non-recapitati.html"</f>
        <v>https://portaletrasparenza.consorziobacchiglione.it/dettagli/attodigara/7178/implementazione-di-un-modulo-munera-per-la-gestione-informatizzata-degli-avvisi-e-solleciti-non-recapitati.html</v>
      </c>
      <c r="U1827" t="str">
        <f>"https://portaletrasparenza.consorziobacchiglione.it/download/attodigara/7178/63ac45cef2379.PDF"</f>
        <v>https://portaletrasparenza.consorziobacchiglione.it/download/attodigara/7178/63ac45cef2379.PDF</v>
      </c>
      <c r="V182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28" spans="1:22" x14ac:dyDescent="0.3">
      <c r="A1828" t="str">
        <f>"Affidamento"</f>
        <v>Affidamento</v>
      </c>
      <c r="B1828" t="str">
        <f>"Oggetto: Approvazione procedura affidamento diretto di servizi. SERVIZIO DI STAMPA, IMBUSTAMENTO E CONSEGNA AL RECAPITATORE DEI SOLLECITI DI PAGAMENTO DEI CONTRIBUTI CONSORTILI ANNO 2021"</f>
        <v>Oggetto: Approvazione procedura affidamento diretto di servizi. SERVIZIO DI STAMPA, IMBUSTAMENTO E CONSEGNA AL RECAPITATORE DEI SOLLECITI DI PAGAMENTO DEI CONTRIBUTI CONSORTILI ANNO 2021</v>
      </c>
      <c r="C1828" t="str">
        <f>"Z6A333DF1F"</f>
        <v>Z6A333DF1F</v>
      </c>
      <c r="D1828" t="str">
        <f>"29/09/2021"</f>
        <v>29/09/2021</v>
      </c>
      <c r="E1828" t="str">
        <f>""</f>
        <v/>
      </c>
      <c r="F1828" t="str">
        <f>""</f>
        <v/>
      </c>
      <c r="G1828" t="str">
        <f>"1472.02"</f>
        <v>1472.02</v>
      </c>
      <c r="H1828" t="str">
        <f>"Consorzio di bonifica Bacchiglione"</f>
        <v>Consorzio di bonifica Bacchiglione</v>
      </c>
      <c r="I1828" t="str">
        <f>"92223390284"</f>
        <v>92223390284</v>
      </c>
      <c r="J1828" t="str">
        <f>"23-AFFIDAMENTO DIRETTO"</f>
        <v>23-AFFIDAMENTO DIRETTO</v>
      </c>
      <c r="K1828" t="str">
        <f>"29/09/2021"</f>
        <v>29/09/2021</v>
      </c>
      <c r="L1828" t="str">
        <f>"18/10/2021"</f>
        <v>18/10/2021</v>
      </c>
      <c r="M1828" t="str">
        <f>""</f>
        <v/>
      </c>
      <c r="N1828" t="str">
        <f>"POLIGRAFICO ROGGERO E TORTIA S.P.A."</f>
        <v>POLIGRAFICO ROGGERO E TORTIA S.P.A.</v>
      </c>
      <c r="O1828" t="str">
        <f>"POLIGRAFICO ROGGERO E TORTIA S.P.A."</f>
        <v>POLIGRAFICO ROGGERO E TORTIA S.P.A.</v>
      </c>
      <c r="P1828" t="str">
        <f>"Z6A333DF1F: [1397.76€ ]"</f>
        <v>Z6A333DF1F: [1397.76€ ]</v>
      </c>
      <c r="Q1828" t="str">
        <f>""</f>
        <v/>
      </c>
      <c r="R1828" t="str">
        <f>""</f>
        <v/>
      </c>
      <c r="S1828" t="str">
        <f>""</f>
        <v/>
      </c>
      <c r="T1828" t="s">
        <v>81</v>
      </c>
      <c r="U1828" t="str">
        <f>"https://portaletrasparenza.consorziobacchiglione.it/download/attodigara/7179/63ac45d14f830.PDF"</f>
        <v>https://portaletrasparenza.consorziobacchiglione.it/download/attodigara/7179/63ac45d14f830.PDF</v>
      </c>
      <c r="V1828">
        <f>(SUBSTITUTE(Tabella1[[#This Row],[Importo di aggiudicazione]],".",","))-(SUBSTITUTE(  SUBSTITUTE(          SUBSTITUTE(Tabella1[[#This Row],[Dettaglio somme liquidate]],Tabella1[[#This Row],[CIG]]&amp;": [",""),"€ ]",""),".",","))</f>
        <v>74.259999999999991</v>
      </c>
    </row>
    <row r="1829" spans="1:22" x14ac:dyDescent="0.3">
      <c r="A1829" t="str">
        <f>"Affidamento"</f>
        <v>Affidamento</v>
      </c>
      <c r="B1829" t="str">
        <f>"Corsi di aggiornamento per coordinatori CSP e CSE - Processo ID 002-16."</f>
        <v>Corsi di aggiornamento per coordinatori CSP e CSE - Processo ID 002-16.</v>
      </c>
      <c r="C1829" t="str">
        <f>"Z261BCE992"</f>
        <v>Z261BCE992</v>
      </c>
      <c r="D1829" t="str">
        <f>"04/11/2021"</f>
        <v>04/11/2021</v>
      </c>
      <c r="E1829" t="str">
        <f>""</f>
        <v/>
      </c>
      <c r="F1829" t="str">
        <f>""</f>
        <v/>
      </c>
      <c r="G1829" t="str">
        <f>"280.00"</f>
        <v>280.00</v>
      </c>
      <c r="H1829" t="str">
        <f>"Consorzio di bonifica Bacchiglione"</f>
        <v>Consorzio di bonifica Bacchiglione</v>
      </c>
      <c r="I1829" t="str">
        <f>"92223390284"</f>
        <v>92223390284</v>
      </c>
      <c r="J1829" t="str">
        <f>"23-AFFIDAMENTO DIRETTO"</f>
        <v>23-AFFIDAMENTO DIRETTO</v>
      </c>
      <c r="K1829" t="str">
        <f>"29/10/2021"</f>
        <v>29/10/2021</v>
      </c>
      <c r="L1829" t="str">
        <f>"30/11/2021"</f>
        <v>30/11/2021</v>
      </c>
      <c r="M1829" t="str">
        <f>""</f>
        <v/>
      </c>
      <c r="N1829" t="str">
        <f>"Centro di Formazione STS s.r.l."</f>
        <v>Centro di Formazione STS s.r.l.</v>
      </c>
      <c r="O1829" t="str">
        <f>"Centro di Formazione STS s.r.l."</f>
        <v>Centro di Formazione STS s.r.l.</v>
      </c>
      <c r="P1829" t="str">
        <f>"Z261BCE992: [280.00€ ]"</f>
        <v>Z261BCE992: [280.00€ ]</v>
      </c>
      <c r="Q1829" t="str">
        <f>""</f>
        <v/>
      </c>
      <c r="R1829" t="str">
        <f>""</f>
        <v/>
      </c>
      <c r="S1829" t="str">
        <f>""</f>
        <v/>
      </c>
      <c r="T1829" t="str">
        <f>"https://portaletrasparenza.consorziobacchiglione.it/dettagli/attodigara/864/corsi-di-aggiornamento-per-coordinatori-csp-e-cse-processo-id-002-16.html"</f>
        <v>https://portaletrasparenza.consorziobacchiglione.it/dettagli/attodigara/864/corsi-di-aggiornamento-per-coordinatori-csp-e-cse-processo-id-002-16.html</v>
      </c>
      <c r="U1829" t="str">
        <f>""</f>
        <v/>
      </c>
      <c r="V182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30" spans="1:22" x14ac:dyDescent="0.3">
      <c r="A1830" t="str">
        <f>"Affidamento"</f>
        <v>Affidamento</v>
      </c>
      <c r="B1830" t="str">
        <f>"Fornitura di n.2 nuove Elettropompe presso Impianto di Sollevamento di Via Magenta"</f>
        <v>Fornitura di n.2 nuove Elettropompe presso Impianto di Sollevamento di Via Magenta</v>
      </c>
      <c r="C1830" t="str">
        <f>"Z5933B0AE1"</f>
        <v>Z5933B0AE1</v>
      </c>
      <c r="D1830" t="str">
        <f>"02/11/2021"</f>
        <v>02/11/2021</v>
      </c>
      <c r="E1830" t="str">
        <f>""</f>
        <v/>
      </c>
      <c r="F1830" t="str">
        <f>""</f>
        <v/>
      </c>
      <c r="G1830" t="str">
        <f>"9560.70"</f>
        <v>9560.70</v>
      </c>
      <c r="H1830" t="str">
        <f>"Consorzio di bonifica Bacchiglione"</f>
        <v>Consorzio di bonifica Bacchiglione</v>
      </c>
      <c r="I1830" t="str">
        <f>"92223390284"</f>
        <v>92223390284</v>
      </c>
      <c r="J1830" t="str">
        <f>"23-AFFIDAMENTO DIRETTO"</f>
        <v>23-AFFIDAMENTO DIRETTO</v>
      </c>
      <c r="K1830" t="str">
        <f>"29/10/2021"</f>
        <v>29/10/2021</v>
      </c>
      <c r="L1830" t="str">
        <f>"05/01/2022"</f>
        <v>05/01/2022</v>
      </c>
      <c r="M1830" t="str">
        <f>""</f>
        <v/>
      </c>
      <c r="N1830" t="str">
        <f>"Xylem Water Solutions Italia S.r.l. Via Gioacchino Rossini 1A 20020 Lainate MI"</f>
        <v>Xylem Water Solutions Italia S.r.l. Via Gioacchino Rossini 1A 20020 Lainate MI</v>
      </c>
      <c r="O1830" t="str">
        <f>"Xylem Water Solutions Italia S.r.l. Via Gioacchino Rossini 1A 20020 Lainate MI"</f>
        <v>Xylem Water Solutions Italia S.r.l. Via Gioacchino Rossini 1A 20020 Lainate MI</v>
      </c>
      <c r="P1830" t="str">
        <f>"Z5933B0AE1: [9560.69€ ]"</f>
        <v>Z5933B0AE1: [9560.69€ ]</v>
      </c>
      <c r="Q1830" t="str">
        <f>""</f>
        <v/>
      </c>
      <c r="R1830" t="str">
        <f>""</f>
        <v/>
      </c>
      <c r="S1830" t="str">
        <f>""</f>
        <v/>
      </c>
      <c r="T1830" t="str">
        <f>"https://portaletrasparenza.consorziobacchiglione.it/dettagli/attodigara/7251/fornitura-di-n-2-nuove-elettropompe-presso-impianto-di-sollevamento-di-via-magenta.html"</f>
        <v>https://portaletrasparenza.consorziobacchiglione.it/dettagli/attodigara/7251/fornitura-di-n-2-nuove-elettropompe-presso-impianto-di-sollevamento-di-via-magenta.html</v>
      </c>
      <c r="U1830" t="str">
        <f>"https://portaletrasparenza.consorziobacchiglione.it/download/attodigara/7251/63ac45e322284.PDF"</f>
        <v>https://portaletrasparenza.consorziobacchiglione.it/download/attodigara/7251/63ac45e322284.PDF</v>
      </c>
      <c r="V1830">
        <f>(SUBSTITUTE(Tabella1[[#This Row],[Importo di aggiudicazione]],".",","))-(SUBSTITUTE(  SUBSTITUTE(          SUBSTITUTE(Tabella1[[#This Row],[Dettaglio somme liquidate]],Tabella1[[#This Row],[CIG]]&amp;": [",""),"€ ]",""),".",","))</f>
        <v>1.0000000000218279E-2</v>
      </c>
    </row>
    <row r="1831" spans="1:22" x14ac:dyDescent="0.3">
      <c r="A1831" t="str">
        <f>"Affidamento"</f>
        <v>Affidamento</v>
      </c>
      <c r="B1831" t="str">
        <f>"Canone di abbonamento al servizio di monitoraggio satellitare su mezzi con targa: DA202YW, EW924ED, DS716AA"</f>
        <v>Canone di abbonamento al servizio di monitoraggio satellitare su mezzi con targa: DA202YW, EW924ED, DS716AA</v>
      </c>
      <c r="C1831" t="str">
        <f>"ZA61C42AC3"</f>
        <v>ZA61C42AC3</v>
      </c>
      <c r="D1831" t="str">
        <f>"04/11/2021"</f>
        <v>04/11/2021</v>
      </c>
      <c r="E1831" t="str">
        <f>""</f>
        <v/>
      </c>
      <c r="F1831" t="str">
        <f>""</f>
        <v/>
      </c>
      <c r="G1831" t="str">
        <f>"107.49"</f>
        <v>107.49</v>
      </c>
      <c r="H1831" t="str">
        <f>"Consorzio di bonifica Bacchiglione"</f>
        <v>Consorzio di bonifica Bacchiglione</v>
      </c>
      <c r="I1831" t="str">
        <f>"92223390284"</f>
        <v>92223390284</v>
      </c>
      <c r="J1831" t="str">
        <f>"23-AFFIDAMENTO DIRETTO"</f>
        <v>23-AFFIDAMENTO DIRETTO</v>
      </c>
      <c r="K1831" t="str">
        <f>"29/11/2021"</f>
        <v>29/11/2021</v>
      </c>
      <c r="L1831" t="str">
        <f>"27/09/2021"</f>
        <v>27/09/2021</v>
      </c>
      <c r="M1831" t="str">
        <f>""</f>
        <v/>
      </c>
      <c r="N1831" t="str">
        <f>"GuardOne Italia S.r.L. Unipersonale Via XXV Aprile 9 20875 Burago di Molgora MB"</f>
        <v>GuardOne Italia S.r.L. Unipersonale Via XXV Aprile 9 20875 Burago di Molgora MB</v>
      </c>
      <c r="O1831" t="str">
        <f>"GuardOne Italia S.r.L. Unipersonale Via XXV Aprile 9 20875 Burago di Molgora MB"</f>
        <v>GuardOne Italia S.r.L. Unipersonale Via XXV Aprile 9 20875 Burago di Molgora MB</v>
      </c>
      <c r="P1831" t="str">
        <f>"ZA61C42AC3: [107.49€ ]"</f>
        <v>ZA61C42AC3: [107.49€ ]</v>
      </c>
      <c r="Q1831" t="str">
        <f>""</f>
        <v/>
      </c>
      <c r="R1831" t="str">
        <f>""</f>
        <v/>
      </c>
      <c r="S1831" t="str">
        <f>""</f>
        <v/>
      </c>
      <c r="T1831" t="str">
        <f>"https://portaletrasparenza.consorziobacchiglione.it/dettagli/attodigara/961/canone-di-abbonamento-al-servizio-di-monitoraggio-satellitare-su-mezzi-con-targa-da202yw-ew924ed-ds716aa.html"</f>
        <v>https://portaletrasparenza.consorziobacchiglione.it/dettagli/attodigara/961/canone-di-abbonamento-al-servizio-di-monitoraggio-satellitare-su-mezzi-con-targa-da202yw-ew924ed-ds716aa.html</v>
      </c>
      <c r="U1831" t="str">
        <f>""</f>
        <v/>
      </c>
      <c r="V183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32" spans="1:22" x14ac:dyDescent="0.3">
      <c r="A1832" t="str">
        <f>"Affidamento"</f>
        <v>Affidamento</v>
      </c>
      <c r="B1832" t="str">
        <f>"Fornitura batteria per G.E. Idrovora Ponte di Riva , lampeggiante per mezzi con targa: AFW043, PDAF496"</f>
        <v>Fornitura batteria per G.E. Idrovora Ponte di Riva , lampeggiante per mezzi con targa: AFW043, PDAF496</v>
      </c>
      <c r="C1832" t="str">
        <f>"Z871C4274F"</f>
        <v>Z871C4274F</v>
      </c>
      <c r="D1832" t="str">
        <f>"04/11/2021"</f>
        <v>04/11/2021</v>
      </c>
      <c r="E1832" t="str">
        <f>""</f>
        <v/>
      </c>
      <c r="F1832" t="str">
        <f>""</f>
        <v/>
      </c>
      <c r="G1832" t="str">
        <f>"1007.00"</f>
        <v>1007.00</v>
      </c>
      <c r="H1832" t="str">
        <f>"Consorzio di bonifica Bacchiglione"</f>
        <v>Consorzio di bonifica Bacchiglione</v>
      </c>
      <c r="I1832" t="str">
        <f>"92223390284"</f>
        <v>92223390284</v>
      </c>
      <c r="J1832" t="str">
        <f>"23-AFFIDAMENTO DIRETTO"</f>
        <v>23-AFFIDAMENTO DIRETTO</v>
      </c>
      <c r="K1832" t="str">
        <f>"29/11/2021"</f>
        <v>29/11/2021</v>
      </c>
      <c r="L1832" t="str">
        <f>"28/12/2021"</f>
        <v>28/12/2021</v>
      </c>
      <c r="M1832" t="str">
        <f>""</f>
        <v/>
      </c>
      <c r="N1832" t="str">
        <f>"Vise Elettrocar Via Montagnon 61 35028 Tognana di Piove di Sacco PD"</f>
        <v>Vise Elettrocar Via Montagnon 61 35028 Tognana di Piove di Sacco PD</v>
      </c>
      <c r="O1832" t="str">
        <f>"Vise Elettrocar Via Montagnon 61 35028 Tognana di Piove di Sacco PD"</f>
        <v>Vise Elettrocar Via Montagnon 61 35028 Tognana di Piove di Sacco PD</v>
      </c>
      <c r="P1832" t="str">
        <f>"Z871C4274F: [1007.00€ ]"</f>
        <v>Z871C4274F: [1007.00€ ]</v>
      </c>
      <c r="Q1832" t="str">
        <f>""</f>
        <v/>
      </c>
      <c r="R1832" t="str">
        <f>""</f>
        <v/>
      </c>
      <c r="S1832" t="str">
        <f>""</f>
        <v/>
      </c>
      <c r="T1832" t="str">
        <f>"https://portaletrasparenza.consorziobacchiglione.it/dettagli/attodigara/960/fornitura-batteria-per-g-e-idrovora-ponte-di-riva-lampeggiante-per-mezzi-con-targa-afw043-pdaf496.html"</f>
        <v>https://portaletrasparenza.consorziobacchiglione.it/dettagli/attodigara/960/fornitura-batteria-per-g-e-idrovora-ponte-di-riva-lampeggiante-per-mezzi-con-targa-afw043-pdaf496.html</v>
      </c>
      <c r="U1832" t="str">
        <f>""</f>
        <v/>
      </c>
      <c r="V183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33" spans="1:22" x14ac:dyDescent="0.3">
      <c r="A1833" t="str">
        <f>"Affidamento"</f>
        <v>Affidamento</v>
      </c>
      <c r="B1833" t="str">
        <f>"Fornitura cristallo per mezzo con targa PDAF497"</f>
        <v>Fornitura cristallo per mezzo con targa PDAF497</v>
      </c>
      <c r="C1833" t="str">
        <f>"Z1B1C423B1"</f>
        <v>Z1B1C423B1</v>
      </c>
      <c r="D1833" t="str">
        <f>"04/11/2021"</f>
        <v>04/11/2021</v>
      </c>
      <c r="E1833" t="str">
        <f>""</f>
        <v/>
      </c>
      <c r="F1833" t="str">
        <f>""</f>
        <v/>
      </c>
      <c r="G1833" t="str">
        <f>"291.30"</f>
        <v>291.30</v>
      </c>
      <c r="H1833" t="str">
        <f>"Consorzio di bonifica Bacchiglione"</f>
        <v>Consorzio di bonifica Bacchiglione</v>
      </c>
      <c r="I1833" t="str">
        <f>"92223390284"</f>
        <v>92223390284</v>
      </c>
      <c r="J1833" t="str">
        <f>"23-AFFIDAMENTO DIRETTO"</f>
        <v>23-AFFIDAMENTO DIRETTO</v>
      </c>
      <c r="K1833" t="str">
        <f>"29/11/2021"</f>
        <v>29/11/2021</v>
      </c>
      <c r="L1833" t="str">
        <f>"04/01/2021"</f>
        <v>04/01/2021</v>
      </c>
      <c r="M1833" t="str">
        <f>""</f>
        <v/>
      </c>
      <c r="N1833" t="str">
        <f>"Elettrodiesel Peruzzo s.r.l. Via Tevere 30 35135 Padova"</f>
        <v>Elettrodiesel Peruzzo s.r.l. Via Tevere 30 35135 Padova</v>
      </c>
      <c r="O1833" t="str">
        <f>"Elettrodiesel Peruzzo s.r.l. Via Tevere 30 35135 Padova"</f>
        <v>Elettrodiesel Peruzzo s.r.l. Via Tevere 30 35135 Padova</v>
      </c>
      <c r="P1833" t="str">
        <f>"Z1B1C423B1: [291.30€ ]"</f>
        <v>Z1B1C423B1: [291.30€ ]</v>
      </c>
      <c r="Q1833" t="str">
        <f>""</f>
        <v/>
      </c>
      <c r="R1833" t="str">
        <f>""</f>
        <v/>
      </c>
      <c r="S1833" t="str">
        <f>""</f>
        <v/>
      </c>
      <c r="T1833" t="str">
        <f>"https://portaletrasparenza.consorziobacchiglione.it/dettagli/attodigara/959/fornitura-cristallo-per-mezzo-con-targa-pdaf497.html"</f>
        <v>https://portaletrasparenza.consorziobacchiglione.it/dettagli/attodigara/959/fornitura-cristallo-per-mezzo-con-targa-pdaf497.html</v>
      </c>
      <c r="U1833" t="str">
        <f>""</f>
        <v/>
      </c>
      <c r="V183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34" spans="1:22" x14ac:dyDescent="0.3">
      <c r="A1834" t="str">
        <f>"Affidamento"</f>
        <v>Affidamento</v>
      </c>
      <c r="B1834" t="str">
        <f>"PULIZIA STAORDINARIA NUOVI UFFICI SEDE CONS.LE"</f>
        <v>PULIZIA STAORDINARIA NUOVI UFFICI SEDE CONS.LE</v>
      </c>
      <c r="C1834" t="str">
        <f>"Z601C40A2B"</f>
        <v>Z601C40A2B</v>
      </c>
      <c r="D1834" t="str">
        <f>"04/11/2021"</f>
        <v>04/11/2021</v>
      </c>
      <c r="E1834" t="str">
        <f>""</f>
        <v/>
      </c>
      <c r="F1834" t="str">
        <f>""</f>
        <v/>
      </c>
      <c r="G1834" t="str">
        <f>"121.00"</f>
        <v>121.00</v>
      </c>
      <c r="H1834" t="str">
        <f>"Consorzio di bonifica Bacchiglione"</f>
        <v>Consorzio di bonifica Bacchiglione</v>
      </c>
      <c r="I1834" t="str">
        <f>"92223390284"</f>
        <v>92223390284</v>
      </c>
      <c r="J1834" t="str">
        <f>"23-AFFIDAMENTO DIRETTO"</f>
        <v>23-AFFIDAMENTO DIRETTO</v>
      </c>
      <c r="K1834" t="str">
        <f>"29/11/2021"</f>
        <v>29/11/2021</v>
      </c>
      <c r="L1834" t="str">
        <f>"31/12/2021"</f>
        <v>31/12/2021</v>
      </c>
      <c r="M1834" t="str">
        <f>""</f>
        <v/>
      </c>
      <c r="N1834" t="str">
        <f>"LA PULITUTTO DI R. LOVO E C. S.R.L."</f>
        <v>LA PULITUTTO DI R. LOVO E C. S.R.L.</v>
      </c>
      <c r="O1834" t="str">
        <f>"LA PULITUTTO DI R. LOVO E C. S.R.L."</f>
        <v>LA PULITUTTO DI R. LOVO E C. S.R.L.</v>
      </c>
      <c r="P1834" t="str">
        <f>"Z601C40A2B: [121.00€ ]"</f>
        <v>Z601C40A2B: [121.00€ ]</v>
      </c>
      <c r="Q1834" t="str">
        <f>""</f>
        <v/>
      </c>
      <c r="R1834" t="str">
        <f>""</f>
        <v/>
      </c>
      <c r="S1834" t="str">
        <f>""</f>
        <v/>
      </c>
      <c r="T1834" t="str">
        <f>"https://portaletrasparenza.consorziobacchiglione.it/dettagli/attodigara/957/pulizia-staordinaria-nuovi-uffici-sede-cons-le.html"</f>
        <v>https://portaletrasparenza.consorziobacchiglione.it/dettagli/attodigara/957/pulizia-staordinaria-nuovi-uffici-sede-cons-le.html</v>
      </c>
      <c r="U1834" t="str">
        <f>""</f>
        <v/>
      </c>
      <c r="V183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35" spans="1:22" x14ac:dyDescent="0.3">
      <c r="A1835" t="str">
        <f>"Affidamento"</f>
        <v>Affidamento</v>
      </c>
      <c r="B1835" t="str">
        <f>"Manutenzione e riparazione mezzi con targa: CT189YR, DS716AA, DA202YW, DA205YW,DN881SC, PDB49361."</f>
        <v>Manutenzione e riparazione mezzi con targa: CT189YR, DS716AA, DA202YW, DA205YW,DN881SC, PDB49361.</v>
      </c>
      <c r="C1835" t="str">
        <f>"Z2E1C40970"</f>
        <v>Z2E1C40970</v>
      </c>
      <c r="D1835" t="str">
        <f>"04/11/2021"</f>
        <v>04/11/2021</v>
      </c>
      <c r="E1835" t="str">
        <f>""</f>
        <v/>
      </c>
      <c r="F1835" t="str">
        <f>""</f>
        <v/>
      </c>
      <c r="G1835" t="str">
        <f>"4273.80"</f>
        <v>4273.80</v>
      </c>
      <c r="H1835" t="str">
        <f>"Consorzio di bonifica Bacchiglione"</f>
        <v>Consorzio di bonifica Bacchiglione</v>
      </c>
      <c r="I1835" t="str">
        <f>"92223390284"</f>
        <v>92223390284</v>
      </c>
      <c r="J1835" t="str">
        <f>"23-AFFIDAMENTO DIRETTO"</f>
        <v>23-AFFIDAMENTO DIRETTO</v>
      </c>
      <c r="K1835" t="str">
        <f>"29/11/2021"</f>
        <v>29/11/2021</v>
      </c>
      <c r="L1835" t="str">
        <f>"28/12/2021"</f>
        <v>28/12/2021</v>
      </c>
      <c r="M1835" t="str">
        <f>""</f>
        <v/>
      </c>
      <c r="N1835" t="str">
        <f>"Vise Elettrocar Via Montagnon 61 35028 Tognana di Piove di Sacco PD"</f>
        <v>Vise Elettrocar Via Montagnon 61 35028 Tognana di Piove di Sacco PD</v>
      </c>
      <c r="O1835" t="str">
        <f>"Vise Elettrocar Via Montagnon 61 35028 Tognana di Piove di Sacco PD"</f>
        <v>Vise Elettrocar Via Montagnon 61 35028 Tognana di Piove di Sacco PD</v>
      </c>
      <c r="P1835" t="str">
        <f>"Z2E1C40970: [4273.00€ ]"</f>
        <v>Z2E1C40970: [4273.00€ ]</v>
      </c>
      <c r="Q1835" t="str">
        <f>""</f>
        <v/>
      </c>
      <c r="R1835" t="str">
        <f>""</f>
        <v/>
      </c>
      <c r="S1835" t="str">
        <f>""</f>
        <v/>
      </c>
      <c r="T1835" t="str">
        <f>"https://portaletrasparenza.consorziobacchiglione.it/dettagli/attodigara/958/manutenzione-e-riparazione-mezzi-con-targa-ct189yr-ds716aa-da202yw-da205yw-dn881sc-pdb49361.html"</f>
        <v>https://portaletrasparenza.consorziobacchiglione.it/dettagli/attodigara/958/manutenzione-e-riparazione-mezzi-con-targa-ct189yr-ds716aa-da202yw-da205yw-dn881sc-pdb49361.html</v>
      </c>
      <c r="U1835" t="str">
        <f>""</f>
        <v/>
      </c>
      <c r="V1835">
        <f>(SUBSTITUTE(Tabella1[[#This Row],[Importo di aggiudicazione]],".",","))-(SUBSTITUTE(  SUBSTITUTE(          SUBSTITUTE(Tabella1[[#This Row],[Dettaglio somme liquidate]],Tabella1[[#This Row],[CIG]]&amp;": [",""),"€ ]",""),".",","))</f>
        <v>0.8000000000001819</v>
      </c>
    </row>
    <row r="1836" spans="1:22" x14ac:dyDescent="0.3">
      <c r="A1836" t="str">
        <f>"Affidamento"</f>
        <v>Affidamento</v>
      </c>
      <c r="B1836" t="str">
        <f>"Stampa di materiale informativo. Evasione pratica SIAE"</f>
        <v>Stampa di materiale informativo. Evasione pratica SIAE</v>
      </c>
      <c r="C1836" t="str">
        <f>"ZA134216BD"</f>
        <v>ZA134216BD</v>
      </c>
      <c r="D1836" t="str">
        <f>"29/11/2021"</f>
        <v>29/11/2021</v>
      </c>
      <c r="E1836" t="str">
        <f>""</f>
        <v/>
      </c>
      <c r="F1836" t="str">
        <f>""</f>
        <v/>
      </c>
      <c r="G1836" t="str">
        <f>"81.97"</f>
        <v>81.97</v>
      </c>
      <c r="H1836" t="str">
        <f>"Consorzio di bonifica Bacchiglione"</f>
        <v>Consorzio di bonifica Bacchiglione</v>
      </c>
      <c r="I1836" t="str">
        <f>"92223390284"</f>
        <v>92223390284</v>
      </c>
      <c r="J1836" t="str">
        <f>"23-AFFIDAMENTO DIRETTO"</f>
        <v>23-AFFIDAMENTO DIRETTO</v>
      </c>
      <c r="K1836" t="str">
        <f>"29/11/2021"</f>
        <v>29/11/2021</v>
      </c>
      <c r="L1836" t="str">
        <f>"20/12/2021"</f>
        <v>20/12/2021</v>
      </c>
      <c r="M1836" t="str">
        <f>""</f>
        <v/>
      </c>
      <c r="N1836" t="str">
        <f>"POLONORD ADESTE S.R.L."</f>
        <v>POLONORD ADESTE S.R.L.</v>
      </c>
      <c r="O1836" t="str">
        <f>"POLONORD ADESTE S.R.L."</f>
        <v>POLONORD ADESTE S.R.L.</v>
      </c>
      <c r="P1836" t="s">
        <v>366</v>
      </c>
      <c r="Q1836" t="str">
        <f>""</f>
        <v/>
      </c>
      <c r="R1836" t="str">
        <f>""</f>
        <v/>
      </c>
      <c r="S1836" t="str">
        <f>""</f>
        <v/>
      </c>
      <c r="T1836" t="str">
        <f>"https://portaletrasparenza.consorziobacchiglione.it/dettagli/attodigara/7317/stampa-di-materiale-informativo-evasione-pratica-siae.html"</f>
        <v>https://portaletrasparenza.consorziobacchiglione.it/dettagli/attodigara/7317/stampa-di-materiale-informativo-evasione-pratica-siae.html</v>
      </c>
      <c r="U1836" t="str">
        <f>"https://portaletrasparenza.consorziobacchiglione.it/download/attodigara/7317/63ac45f01263d.PDF"</f>
        <v>https://portaletrasparenza.consorziobacchiglione.it/download/attodigara/7317/63ac45f01263d.PDF</v>
      </c>
      <c r="V183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37" spans="1:22" x14ac:dyDescent="0.3">
      <c r="A1837" t="str">
        <f>"Affidamento"</f>
        <v>Affidamento</v>
      </c>
      <c r="B1837" t="str">
        <f>"Sistemazione gru Palfinger PK 20001K installata sul mezzo targato: FT040WG, a seguito del sinistro avvenuto in data 02/11/21"</f>
        <v>Sistemazione gru Palfinger PK 20001K installata sul mezzo targato: FT040WG, a seguito del sinistro avvenuto in data 02/11/21</v>
      </c>
      <c r="C1837" t="str">
        <f>"Z603423D1B"</f>
        <v>Z603423D1B</v>
      </c>
      <c r="D1837" t="str">
        <f>"29/11/2021"</f>
        <v>29/11/2021</v>
      </c>
      <c r="E1837" t="str">
        <f>""</f>
        <v/>
      </c>
      <c r="F1837" t="str">
        <f>""</f>
        <v/>
      </c>
      <c r="G1837" t="str">
        <f>"14276.00"</f>
        <v>14276.00</v>
      </c>
      <c r="H1837" t="str">
        <f>"Consorzio di bonifica Bacchiglione"</f>
        <v>Consorzio di bonifica Bacchiglione</v>
      </c>
      <c r="I1837" t="str">
        <f>"92223390284"</f>
        <v>92223390284</v>
      </c>
      <c r="J1837" t="str">
        <f>"23-AFFIDAMENTO DIRETTO"</f>
        <v>23-AFFIDAMENTO DIRETTO</v>
      </c>
      <c r="K1837" t="str">
        <f>"29/11/2021"</f>
        <v>29/11/2021</v>
      </c>
      <c r="L1837" t="str">
        <f>"31/01/2022"</f>
        <v>31/01/2022</v>
      </c>
      <c r="M1837" t="str">
        <f>""</f>
        <v/>
      </c>
      <c r="N1837" t="str">
        <f>"Moressa s.r.l. Via Cuccara 2 35020 Due Carrare PD"</f>
        <v>Moressa s.r.l. Via Cuccara 2 35020 Due Carrare PD</v>
      </c>
      <c r="O1837" t="str">
        <f>"Moressa s.r.l. Via Cuccara 2 35020 Due Carrare PD"</f>
        <v>Moressa s.r.l. Via Cuccara 2 35020 Due Carrare PD</v>
      </c>
      <c r="P1837" t="str">
        <f>"Z603423D1B: [13600.00€ ]"</f>
        <v>Z603423D1B: [13600.00€ ]</v>
      </c>
      <c r="Q1837" t="str">
        <f>""</f>
        <v/>
      </c>
      <c r="R1837" t="str">
        <f>""</f>
        <v/>
      </c>
      <c r="S1837" t="str">
        <f>""</f>
        <v/>
      </c>
      <c r="T1837" t="str">
        <f>"https://portaletrasparenza.consorziobacchiglione.it/dettagli/attodigara/7319/sistemazione-gru-palfinger-pk-20001k-installata-sul-mezzo-targato-ft040wg-a-seguito-del-sinistro-avvenuto-in-data-02-11-21.html"</f>
        <v>https://portaletrasparenza.consorziobacchiglione.it/dettagli/attodigara/7319/sistemazione-gru-palfinger-pk-20001k-installata-sul-mezzo-targato-ft040wg-a-seguito-del-sinistro-avvenuto-in-data-02-11-21.html</v>
      </c>
      <c r="U1837" t="str">
        <f>"https://portaletrasparenza.consorziobacchiglione.it/download/attodigara/7319/63ac45f17a4c1.PDF"</f>
        <v>https://portaletrasparenza.consorziobacchiglione.it/download/attodigara/7319/63ac45f17a4c1.PDF</v>
      </c>
      <c r="V1837">
        <f>(SUBSTITUTE(Tabella1[[#This Row],[Importo di aggiudicazione]],".",","))-(SUBSTITUTE(  SUBSTITUTE(          SUBSTITUTE(Tabella1[[#This Row],[Dettaglio somme liquidate]],Tabella1[[#This Row],[CIG]]&amp;": [",""),"€ ]",""),".",","))</f>
        <v>676</v>
      </c>
    </row>
    <row r="1838" spans="1:22" x14ac:dyDescent="0.3">
      <c r="A1838" t="str">
        <f>"Affidamento"</f>
        <v>Affidamento</v>
      </c>
      <c r="B1838" t="str">
        <f>"Fornitura 1800 pali in Castagno con punta lunghi MT 2,5 per Bacino Pratiarcati e Montà Portello da consegnarsi presso il C.O. di Bovolenta - Materiale da consegnarsi legati in fasci."</f>
        <v>Fornitura 1800 pali in Castagno con punta lunghi MT 2,5 per Bacino Pratiarcati e Montà Portello da consegnarsi presso il C.O. di Bovolenta - Materiale da consegnarsi legati in fasci.</v>
      </c>
      <c r="C1838" t="str">
        <f>"ZD23421F0B"</f>
        <v>ZD23421F0B</v>
      </c>
      <c r="D1838" t="str">
        <f>"29/11/2021"</f>
        <v>29/11/2021</v>
      </c>
      <c r="E1838" t="str">
        <f>""</f>
        <v/>
      </c>
      <c r="F1838" t="str">
        <f>""</f>
        <v/>
      </c>
      <c r="G1838" t="str">
        <f>"34200.00"</f>
        <v>34200.00</v>
      </c>
      <c r="H1838" t="str">
        <f>"Consorzio di bonifica Bacchiglione"</f>
        <v>Consorzio di bonifica Bacchiglione</v>
      </c>
      <c r="I1838" t="str">
        <f>"92223390284"</f>
        <v>92223390284</v>
      </c>
      <c r="J1838" t="str">
        <f>"22-PROCEDURA NEGOZIATA CON PREVIA INDIZIONE DI GARA (SETTORI SPECIALI)"</f>
        <v>22-PROCEDURA NEGOZIATA CON PREVIA INDIZIONE DI GARA (SETTORI SPECIALI)</v>
      </c>
      <c r="K1838" t="str">
        <f>"29/11/2021"</f>
        <v>29/11/2021</v>
      </c>
      <c r="L1838" t="str">
        <f>"31/12/2021"</f>
        <v>31/12/2021</v>
      </c>
      <c r="M1838" t="str">
        <f>""</f>
        <v/>
      </c>
      <c r="N1838" t="str">
        <f>"Chinucci Legnami S.r.l. Via Cassia Cimina Km. 29 01037 Ronciglione VT"</f>
        <v>Chinucci Legnami S.r.l. Via Cassia Cimina Km. 29 01037 Ronciglione VT</v>
      </c>
      <c r="O1838" t="str">
        <f>"Chinucci Legnami S.r.l. Via Cassia Cimina Km. 29 01037 Ronciglione VT"</f>
        <v>Chinucci Legnami S.r.l. Via Cassia Cimina Km. 29 01037 Ronciglione VT</v>
      </c>
      <c r="P1838" t="str">
        <f>"ZD23421F0B: [33221.40€ ]"</f>
        <v>ZD23421F0B: [33221.40€ ]</v>
      </c>
      <c r="Q1838" t="str">
        <f>""</f>
        <v/>
      </c>
      <c r="R1838" t="str">
        <f>""</f>
        <v/>
      </c>
      <c r="S1838" t="str">
        <f>""</f>
        <v/>
      </c>
      <c r="T1838" t="s">
        <v>29</v>
      </c>
      <c r="U1838" t="str">
        <f>"https://portaletrasparenza.consorziobacchiglione.it/download/attodigara/7318/63ac45f1416a6.PDF"</f>
        <v>https://portaletrasparenza.consorziobacchiglione.it/download/attodigara/7318/63ac45f1416a6.PDF</v>
      </c>
      <c r="V1838">
        <f>(SUBSTITUTE(Tabella1[[#This Row],[Importo di aggiudicazione]],".",","))-(SUBSTITUTE(  SUBSTITUTE(          SUBSTITUTE(Tabella1[[#This Row],[Dettaglio somme liquidate]],Tabella1[[#This Row],[CIG]]&amp;": [",""),"€ ]",""),".",","))</f>
        <v>978.59999999999854</v>
      </c>
    </row>
    <row r="1839" spans="1:22" x14ac:dyDescent="0.3">
      <c r="A1839" t="str">
        <f>"Affidamento"</f>
        <v>Affidamento</v>
      </c>
      <c r="B1839" t="str">
        <f>"Noleggio bagno chimico da cantiere per lavori presso scolo Menona in comune di Motegrotto Terme"</f>
        <v>Noleggio bagno chimico da cantiere per lavori presso scolo Menona in comune di Motegrotto Terme</v>
      </c>
      <c r="C1839" t="str">
        <f>"Z6E34278C4"</f>
        <v>Z6E34278C4</v>
      </c>
      <c r="D1839" t="str">
        <f>"30/11/2021"</f>
        <v>30/11/2021</v>
      </c>
      <c r="E1839" t="str">
        <f>""</f>
        <v/>
      </c>
      <c r="F1839" t="str">
        <f>""</f>
        <v/>
      </c>
      <c r="G1839" t="str">
        <f>"240.00"</f>
        <v>240.00</v>
      </c>
      <c r="H1839" t="str">
        <f>"Consorzio di bonifica Bacchiglione"</f>
        <v>Consorzio di bonifica Bacchiglione</v>
      </c>
      <c r="I1839" t="str">
        <f>"92223390284"</f>
        <v>92223390284</v>
      </c>
      <c r="J1839" t="str">
        <f>"23-AFFIDAMENTO DIRETTO"</f>
        <v>23-AFFIDAMENTO DIRETTO</v>
      </c>
      <c r="K1839" t="str">
        <f>"29/11/2021"</f>
        <v>29/11/2021</v>
      </c>
      <c r="L1839" t="str">
        <f>"30/12/2021"</f>
        <v>30/12/2021</v>
      </c>
      <c r="M1839" t="str">
        <f>""</f>
        <v/>
      </c>
      <c r="N1839" t="str">
        <f>"Sebach s.r.l.Unipersonale Via Fiorentina 109 50052 Certaldo FI"</f>
        <v>Sebach s.r.l.Unipersonale Via Fiorentina 109 50052 Certaldo FI</v>
      </c>
      <c r="O1839" t="str">
        <f>"Sebach s.r.l.Unipersonale Via Fiorentina 109 50052 Certaldo FI"</f>
        <v>Sebach s.r.l.Unipersonale Via Fiorentina 109 50052 Certaldo FI</v>
      </c>
      <c r="P1839" t="s">
        <v>318</v>
      </c>
      <c r="Q1839" t="str">
        <f>""</f>
        <v/>
      </c>
      <c r="R1839" t="str">
        <f>""</f>
        <v/>
      </c>
      <c r="S1839" t="str">
        <f>""</f>
        <v/>
      </c>
      <c r="T1839" t="str">
        <f>"https://portaletrasparenza.consorziobacchiglione.it/dettagli/attodigara/7320/noleggio-bagno-chimico-da-cantiere-per-lavori-presso-scolo-menona-in-comune-di-motegrotto-terme.html"</f>
        <v>https://portaletrasparenza.consorziobacchiglione.it/dettagli/attodigara/7320/noleggio-bagno-chimico-da-cantiere-per-lavori-presso-scolo-menona-in-comune-di-motegrotto-terme.html</v>
      </c>
      <c r="U1839" t="str">
        <f>"https://portaletrasparenza.consorziobacchiglione.it/download/attodigara/7320/63ac45f269fe4.PDF"</f>
        <v>https://portaletrasparenza.consorziobacchiglione.it/download/attodigara/7320/63ac45f269fe4.PDF</v>
      </c>
      <c r="V183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40" spans="1:22" x14ac:dyDescent="0.3">
      <c r="A1840" t="str">
        <f>"Affidamento"</f>
        <v>Affidamento</v>
      </c>
      <c r="B1840" t="str">
        <f>"Eliminazione perdita olio e sostituzione giri motore del mezzo targato: AGZ838"</f>
        <v>Eliminazione perdita olio e sostituzione giri motore del mezzo targato: AGZ838</v>
      </c>
      <c r="C1840" t="str">
        <f>"Z163425061"</f>
        <v>Z163425061</v>
      </c>
      <c r="D1840" t="str">
        <f>"30/11/2021"</f>
        <v>30/11/2021</v>
      </c>
      <c r="E1840" t="str">
        <f>""</f>
        <v/>
      </c>
      <c r="F1840" t="str">
        <f>""</f>
        <v/>
      </c>
      <c r="G1840" t="str">
        <f>"1118.38"</f>
        <v>1118.38</v>
      </c>
      <c r="H1840" t="str">
        <f>"Consorzio di bonifica Bacchiglione"</f>
        <v>Consorzio di bonifica Bacchiglione</v>
      </c>
      <c r="I1840" t="str">
        <f>"92223390284"</f>
        <v>92223390284</v>
      </c>
      <c r="J1840" t="str">
        <f>"23-AFFIDAMENTO DIRETTO"</f>
        <v>23-AFFIDAMENTO DIRETTO</v>
      </c>
      <c r="K1840" t="str">
        <f>"29/11/2021"</f>
        <v>29/11/2021</v>
      </c>
      <c r="L1840" t="str">
        <f>"11/01/2022"</f>
        <v>11/01/2022</v>
      </c>
      <c r="M1840" t="str">
        <f>""</f>
        <v/>
      </c>
      <c r="N1840" t="str">
        <f>"Adriatica Commerciale Macchine s.r.l. Via dell'Artigianato 5 35020 Due Carrare PD"</f>
        <v>Adriatica Commerciale Macchine s.r.l. Via dell'Artigianato 5 35020 Due Carrare PD</v>
      </c>
      <c r="O1840" t="str">
        <f>"Adriatica Commerciale Macchine s.r.l. Via dell'Artigianato 5 35020 Due Carrare PD"</f>
        <v>Adriatica Commerciale Macchine s.r.l. Via dell'Artigianato 5 35020 Due Carrare PD</v>
      </c>
      <c r="P1840" t="str">
        <f>"Z163425061: [1118.38€ ]"</f>
        <v>Z163425061: [1118.38€ ]</v>
      </c>
      <c r="Q1840" t="str">
        <f>""</f>
        <v/>
      </c>
      <c r="R1840" t="str">
        <f>""</f>
        <v/>
      </c>
      <c r="S1840" t="str">
        <f>""</f>
        <v/>
      </c>
      <c r="T1840" t="str">
        <f>"https://portaletrasparenza.consorziobacchiglione.it/dettagli/attodigara/7322/eliminazione-perdita-olio-e-sostituzione-giri-motore-del-mezzo-targato-agz838.html"</f>
        <v>https://portaletrasparenza.consorziobacchiglione.it/dettagli/attodigara/7322/eliminazione-perdita-olio-e-sostituzione-giri-motore-del-mezzo-targato-agz838.html</v>
      </c>
      <c r="U1840" t="str">
        <f>"https://portaletrasparenza.consorziobacchiglione.it/download/attodigara/7322/63ac45f230ee3.PDF"</f>
        <v>https://portaletrasparenza.consorziobacchiglione.it/download/attodigara/7322/63ac45f230ee3.PDF</v>
      </c>
      <c r="V184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41" spans="1:22" x14ac:dyDescent="0.3">
      <c r="A1841" t="str">
        <f>"Affidamento"</f>
        <v>Affidamento</v>
      </c>
      <c r="B1841" t="str">
        <f>"Tagliando completo delle 500 ore, compreso sostituzione cinghie, sostituzione valvola termostatica e tubazione idraulica su mezzo targato: PDAH521"</f>
        <v>Tagliando completo delle 500 ore, compreso sostituzione cinghie, sostituzione valvola termostatica e tubazione idraulica su mezzo targato: PDAH521</v>
      </c>
      <c r="C1841" t="str">
        <f>"Z123424775"</f>
        <v>Z123424775</v>
      </c>
      <c r="D1841" t="str">
        <f>"30/11/2021"</f>
        <v>30/11/2021</v>
      </c>
      <c r="E1841" t="str">
        <f>""</f>
        <v/>
      </c>
      <c r="F1841" t="str">
        <f>""</f>
        <v/>
      </c>
      <c r="G1841" t="str">
        <f>"1287.17"</f>
        <v>1287.17</v>
      </c>
      <c r="H1841" t="str">
        <f>"Consorzio di bonifica Bacchiglione"</f>
        <v>Consorzio di bonifica Bacchiglione</v>
      </c>
      <c r="I1841" t="str">
        <f>"92223390284"</f>
        <v>92223390284</v>
      </c>
      <c r="J1841" t="str">
        <f>"23-AFFIDAMENTO DIRETTO"</f>
        <v>23-AFFIDAMENTO DIRETTO</v>
      </c>
      <c r="K1841" t="str">
        <f>"29/11/2021"</f>
        <v>29/11/2021</v>
      </c>
      <c r="L1841" t="str">
        <f>"11/01/2022"</f>
        <v>11/01/2022</v>
      </c>
      <c r="M1841" t="str">
        <f>""</f>
        <v/>
      </c>
      <c r="N1841" t="str">
        <f>"Adriatica Commerciale Macchine s.r.l. Via dell'Artigianato 5 35020 Due Carrare PD"</f>
        <v>Adriatica Commerciale Macchine s.r.l. Via dell'Artigianato 5 35020 Due Carrare PD</v>
      </c>
      <c r="O1841" t="str">
        <f>"Adriatica Commerciale Macchine s.r.l. Via dell'Artigianato 5 35020 Due Carrare PD"</f>
        <v>Adriatica Commerciale Macchine s.r.l. Via dell'Artigianato 5 35020 Due Carrare PD</v>
      </c>
      <c r="P1841" t="str">
        <f>"Z123424775: [1287.17€ ]"</f>
        <v>Z123424775: [1287.17€ ]</v>
      </c>
      <c r="Q1841" t="str">
        <f>""</f>
        <v/>
      </c>
      <c r="R1841" t="str">
        <f>""</f>
        <v/>
      </c>
      <c r="S1841" t="str">
        <f>""</f>
        <v/>
      </c>
      <c r="T1841" t="str">
        <f>"https://portaletrasparenza.consorziobacchiglione.it/dettagli/attodigara/7321/tagliando-completo-delle-500-ore-compreso-sostituzione-cinghie-sostituzione-valvola-termostatica-e-tubazione-idraulica-su-mezzo-targato-pdah521.html"</f>
        <v>https://portaletrasparenza.consorziobacchiglione.it/dettagli/attodigara/7321/tagliando-completo-delle-500-ore-compreso-sostituzione-cinghie-sostituzione-valvola-termostatica-e-tubazione-idraulica-su-mezzo-targato-pdah521.html</v>
      </c>
      <c r="U1841" t="str">
        <f>"https://portaletrasparenza.consorziobacchiglione.it/download/attodigara/7321/63ac45f1ec3c6.PDF"</f>
        <v>https://portaletrasparenza.consorziobacchiglione.it/download/attodigara/7321/63ac45f1ec3c6.PDF</v>
      </c>
      <c r="V184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42" spans="1:22" x14ac:dyDescent="0.3">
      <c r="A1842" t="str">
        <f>"Affidamento"</f>
        <v>Affidamento</v>
      </c>
      <c r="B1842" t="str">
        <f>"Intervento sistemistico su server catastali"</f>
        <v>Intervento sistemistico su server catastali</v>
      </c>
      <c r="C1842" t="str">
        <f>"ZD71CC51A9"</f>
        <v>ZD71CC51A9</v>
      </c>
      <c r="D1842" t="str">
        <f>"04/11/2021"</f>
        <v>04/11/2021</v>
      </c>
      <c r="E1842" t="str">
        <f>""</f>
        <v/>
      </c>
      <c r="F1842" t="str">
        <f>""</f>
        <v/>
      </c>
      <c r="G1842" t="str">
        <f>"750.00"</f>
        <v>750.00</v>
      </c>
      <c r="H1842" t="str">
        <f>"Consorzio di bonifica Bacchiglione"</f>
        <v>Consorzio di bonifica Bacchiglione</v>
      </c>
      <c r="I1842" t="str">
        <f>"92223390284"</f>
        <v>92223390284</v>
      </c>
      <c r="J1842" t="str">
        <f>"23-AFFIDAMENTO DIRETTO"</f>
        <v>23-AFFIDAMENTO DIRETTO</v>
      </c>
      <c r="K1842" t="str">
        <f>"29/12/2021"</f>
        <v>29/12/2021</v>
      </c>
      <c r="L1842" t="str">
        <f>"20/03/2021"</f>
        <v>20/03/2021</v>
      </c>
      <c r="M1842" t="str">
        <f>""</f>
        <v/>
      </c>
      <c r="N1842" t="str">
        <f>"N.S.I.T. s.r.l."</f>
        <v>N.S.I.T. s.r.l.</v>
      </c>
      <c r="O1842" t="str">
        <f>"N.S.I.T. s.r.l."</f>
        <v>N.S.I.T. s.r.l.</v>
      </c>
      <c r="P1842" t="str">
        <f>"ZD71CC51A9: [750.00€ ]"</f>
        <v>ZD71CC51A9: [750.00€ ]</v>
      </c>
      <c r="Q1842" t="str">
        <f>""</f>
        <v/>
      </c>
      <c r="R1842" t="str">
        <f>""</f>
        <v/>
      </c>
      <c r="S1842" t="str">
        <f>""</f>
        <v/>
      </c>
      <c r="T1842" t="str">
        <f>"https://portaletrasparenza.consorziobacchiglione.it/dettagli/attodigara/1047/intervento-sistemistico-su-server-catastali.html"</f>
        <v>https://portaletrasparenza.consorziobacchiglione.it/dettagli/attodigara/1047/intervento-sistemistico-su-server-catastali.html</v>
      </c>
      <c r="U1842" t="str">
        <f>""</f>
        <v/>
      </c>
      <c r="V184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43" spans="1:22" x14ac:dyDescent="0.3">
      <c r="A1843" t="str">
        <f>"Affidamento"</f>
        <v>Affidamento</v>
      </c>
      <c r="B1843" t="str">
        <f>"Sevizio di gestione e assistenza della piattaforma CADASTRAL per la gestione alfanumerica del catasto consortile e dei servizi connessi anno 2017."</f>
        <v>Sevizio di gestione e assistenza della piattaforma CADASTRAL per la gestione alfanumerica del catasto consortile e dei servizi connessi anno 2017.</v>
      </c>
      <c r="C1843" t="str">
        <f>"Z761CC4F0C"</f>
        <v>Z761CC4F0C</v>
      </c>
      <c r="D1843" t="str">
        <f>"04/11/2021"</f>
        <v>04/11/2021</v>
      </c>
      <c r="E1843" t="str">
        <f>""</f>
        <v/>
      </c>
      <c r="F1843" t="str">
        <f>""</f>
        <v/>
      </c>
      <c r="G1843" t="str">
        <f>"7500.00"</f>
        <v>7500.00</v>
      </c>
      <c r="H1843" t="str">
        <f>"Consorzio di bonifica Bacchiglione"</f>
        <v>Consorzio di bonifica Bacchiglione</v>
      </c>
      <c r="I1843" t="str">
        <f>"92223390284"</f>
        <v>92223390284</v>
      </c>
      <c r="J1843" t="str">
        <f>"23-AFFIDAMENTO DIRETTO"</f>
        <v>23-AFFIDAMENTO DIRETTO</v>
      </c>
      <c r="K1843" t="str">
        <f>"29/12/2021"</f>
        <v>29/12/2021</v>
      </c>
      <c r="L1843" t="str">
        <f>"31/12/2021"</f>
        <v>31/12/2021</v>
      </c>
      <c r="M1843" t="str">
        <f>""</f>
        <v/>
      </c>
      <c r="N1843" t="str">
        <f>"I4 CONSULTING S.R.L."</f>
        <v>I4 CONSULTING S.R.L.</v>
      </c>
      <c r="O1843" t="str">
        <f>"I4 CONSULTING S.R.L."</f>
        <v>I4 CONSULTING S.R.L.</v>
      </c>
      <c r="P1843" t="str">
        <f>"Z761CC4F0C: [7500.00€ ]"</f>
        <v>Z761CC4F0C: [7500.00€ ]</v>
      </c>
      <c r="Q1843" t="str">
        <f>""</f>
        <v/>
      </c>
      <c r="R1843" t="str">
        <f>""</f>
        <v/>
      </c>
      <c r="S1843" t="str">
        <f>""</f>
        <v/>
      </c>
      <c r="T1843" t="str">
        <f>"https://portaletrasparenza.consorziobacchiglione.it/dettagli/attodigara/1046/sevizio-di-gestione-e-assistenza-della-piattaforma-cadastral-per-la-gestione-alfanumerica-del-catasto-consortile-e-dei-servizi-connessi-anno-2017.html"</f>
        <v>https://portaletrasparenza.consorziobacchiglione.it/dettagli/attodigara/1046/sevizio-di-gestione-e-assistenza-della-piattaforma-cadastral-per-la-gestione-alfanumerica-del-catasto-consortile-e-dei-servizi-connessi-anno-2017.html</v>
      </c>
      <c r="U1843" t="str">
        <f>""</f>
        <v/>
      </c>
      <c r="V184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44" spans="1:22" x14ac:dyDescent="0.3">
      <c r="A1844" t="str">
        <f>"Affidamento"</f>
        <v>Affidamento</v>
      </c>
      <c r="B1844" t="str">
        <f>"CARTUCCE PER STAMPANTE UFFICIO RAGIONERIA"</f>
        <v>CARTUCCE PER STAMPANTE UFFICIO RAGIONERIA</v>
      </c>
      <c r="C1844" t="str">
        <f>"Z8A1CC09EC"</f>
        <v>Z8A1CC09EC</v>
      </c>
      <c r="D1844" t="str">
        <f>"04/11/2021"</f>
        <v>04/11/2021</v>
      </c>
      <c r="E1844" t="str">
        <f>""</f>
        <v/>
      </c>
      <c r="F1844" t="str">
        <f>""</f>
        <v/>
      </c>
      <c r="G1844" t="str">
        <f>"617.00"</f>
        <v>617.00</v>
      </c>
      <c r="H1844" t="str">
        <f>"Consorzio di bonifica Bacchiglione"</f>
        <v>Consorzio di bonifica Bacchiglione</v>
      </c>
      <c r="I1844" t="str">
        <f>"92223390284"</f>
        <v>92223390284</v>
      </c>
      <c r="J1844" t="str">
        <f>"23-AFFIDAMENTO DIRETTO"</f>
        <v>23-AFFIDAMENTO DIRETTO</v>
      </c>
      <c r="K1844" t="str">
        <f>"29/12/2021"</f>
        <v>29/12/2021</v>
      </c>
      <c r="L1844" t="str">
        <f>"22/04/2021"</f>
        <v>22/04/2021</v>
      </c>
      <c r="M1844" t="str">
        <f>""</f>
        <v/>
      </c>
      <c r="N1844" t="str">
        <f>"FR S.N.C."</f>
        <v>FR S.N.C.</v>
      </c>
      <c r="O1844" t="str">
        <f>"FR S.N.C."</f>
        <v>FR S.N.C.</v>
      </c>
      <c r="P1844" t="str">
        <f>"Z8A1CC09EC: [617.00€ ]"</f>
        <v>Z8A1CC09EC: [617.00€ ]</v>
      </c>
      <c r="Q1844" t="str">
        <f>""</f>
        <v/>
      </c>
      <c r="R1844" t="str">
        <f>""</f>
        <v/>
      </c>
      <c r="S1844" t="str">
        <f>""</f>
        <v/>
      </c>
      <c r="T1844" t="str">
        <f>"https://portaletrasparenza.consorziobacchiglione.it/dettagli/attodigara/1044/cartucce-per-stampante-ufficio-ragioneria.html"</f>
        <v>https://portaletrasparenza.consorziobacchiglione.it/dettagli/attodigara/1044/cartucce-per-stampante-ufficio-ragioneria.html</v>
      </c>
      <c r="U1844" t="str">
        <f>""</f>
        <v/>
      </c>
      <c r="V184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45" spans="1:22" x14ac:dyDescent="0.3">
      <c r="A1845" t="str">
        <f>"Affidamento"</f>
        <v>Affidamento</v>
      </c>
      <c r="B1845" t="str">
        <f>"Progetto di valorizzazione del patrimonio materia e immateriale dei Consorzi di bonifica. Predisposizione materiale di divulgazione dei risultati del progetto."</f>
        <v>Progetto di valorizzazione del patrimonio materia e immateriale dei Consorzi di bonifica. Predisposizione materiale di divulgazione dei risultati del progetto.</v>
      </c>
      <c r="C1845" t="str">
        <f>"Z1F1CC398F"</f>
        <v>Z1F1CC398F</v>
      </c>
      <c r="D1845" t="str">
        <f>"04/11/2021"</f>
        <v>04/11/2021</v>
      </c>
      <c r="E1845" t="str">
        <f>""</f>
        <v/>
      </c>
      <c r="F1845" t="str">
        <f>""</f>
        <v/>
      </c>
      <c r="G1845" t="str">
        <f>"5850.00"</f>
        <v>5850.00</v>
      </c>
      <c r="H1845" t="str">
        <f>"Consorzio di bonifica Bacchiglione"</f>
        <v>Consorzio di bonifica Bacchiglione</v>
      </c>
      <c r="I1845" t="str">
        <f>"92223390284"</f>
        <v>92223390284</v>
      </c>
      <c r="J1845" t="str">
        <f>"23-AFFIDAMENTO DIRETTO"</f>
        <v>23-AFFIDAMENTO DIRETTO</v>
      </c>
      <c r="K1845" t="str">
        <f>"29/12/2021"</f>
        <v>29/12/2021</v>
      </c>
      <c r="L1845" t="str">
        <f>"31/12/2021"</f>
        <v>31/12/2021</v>
      </c>
      <c r="M1845" t="str">
        <f>""</f>
        <v/>
      </c>
      <c r="N1845" t="str">
        <f>"PADOVA UNIVERSITY PRESS"</f>
        <v>PADOVA UNIVERSITY PRESS</v>
      </c>
      <c r="O1845" t="str">
        <f>"PADOVA UNIVERSITY PRESS"</f>
        <v>PADOVA UNIVERSITY PRESS</v>
      </c>
      <c r="P1845" t="str">
        <f>"Z1F1CC398F: [0.00€ ]"</f>
        <v>Z1F1CC398F: [0.00€ ]</v>
      </c>
      <c r="Q1845" t="str">
        <f>""</f>
        <v/>
      </c>
      <c r="R1845" t="str">
        <f>""</f>
        <v/>
      </c>
      <c r="S1845" t="str">
        <f>""</f>
        <v/>
      </c>
      <c r="T1845" t="str">
        <f>"https://portaletrasparenza.consorziobacchiglione.it/dettagli/attodigara/1045/progetto-di-valorizzazione-del-patrimonio-materia-e-immateriale-dei-consorzi-di-bonifica-predisposizione-materiale-di-divulgazione-dei-risultati-del-progetto.html"</f>
        <v>https://portaletrasparenza.consorziobacchiglione.it/dettagli/attodigara/1045/progetto-di-valorizzazione-del-patrimonio-materia-e-immateriale-dei-consorzi-di-bonifica-predisposizione-materiale-di-divulgazione-dei-risultati-del-progetto.html</v>
      </c>
      <c r="U1845" t="str">
        <f>""</f>
        <v/>
      </c>
      <c r="V1845">
        <f>(SUBSTITUTE(Tabella1[[#This Row],[Importo di aggiudicazione]],".",","))-(SUBSTITUTE(  SUBSTITUTE(          SUBSTITUTE(Tabella1[[#This Row],[Dettaglio somme liquidate]],Tabella1[[#This Row],[CIG]]&amp;": [",""),"€ ]",""),".",","))</f>
        <v>5850</v>
      </c>
    </row>
    <row r="1846" spans="1:22" x14ac:dyDescent="0.3">
      <c r="A1846" t="str">
        <f>"Affidamento"</f>
        <v>Affidamento</v>
      </c>
      <c r="B1846" t="str">
        <f>"Fornitura modulo software per la gestione informatizzata delle pubblicazioni on line di delibere e determine e altri atti repertoriati e protocollati."</f>
        <v>Fornitura modulo software per la gestione informatizzata delle pubblicazioni on line di delibere e determine e altri atti repertoriati e protocollati.</v>
      </c>
      <c r="C1846" t="str">
        <f>"ZD6349C137"</f>
        <v>ZD6349C137</v>
      </c>
      <c r="D1846" t="str">
        <f>"29/12/2021"</f>
        <v>29/12/2021</v>
      </c>
      <c r="E1846" t="str">
        <f>""</f>
        <v/>
      </c>
      <c r="F1846" t="str">
        <f>""</f>
        <v/>
      </c>
      <c r="G1846" t="str">
        <f>"1680.00"</f>
        <v>1680.00</v>
      </c>
      <c r="H1846" t="str">
        <f>"Consorzio di bonifica Bacchiglione"</f>
        <v>Consorzio di bonifica Bacchiglione</v>
      </c>
      <c r="I1846" t="str">
        <f>"92223390284"</f>
        <v>92223390284</v>
      </c>
      <c r="J1846" t="str">
        <f>"23-AFFIDAMENTO DIRETTO"</f>
        <v>23-AFFIDAMENTO DIRETTO</v>
      </c>
      <c r="K1846" t="str">
        <f>"29/12/2021"</f>
        <v>29/12/2021</v>
      </c>
      <c r="L1846" t="str">
        <f>"10/01/2022"</f>
        <v>10/01/2022</v>
      </c>
      <c r="M1846" t="str">
        <f>""</f>
        <v/>
      </c>
      <c r="N1846" t="str">
        <f>"DATAGRAPH S.R.L."</f>
        <v>DATAGRAPH S.R.L.</v>
      </c>
      <c r="O1846" t="str">
        <f>"DATAGRAPH S.R.L."</f>
        <v>DATAGRAPH S.R.L.</v>
      </c>
      <c r="P1846" t="str">
        <f>"ZD6349C137: [1680.00€ ]"</f>
        <v>ZD6349C137: [1680.00€ ]</v>
      </c>
      <c r="Q1846" t="str">
        <f>""</f>
        <v/>
      </c>
      <c r="R1846" t="str">
        <f>""</f>
        <v/>
      </c>
      <c r="S1846" t="str">
        <f>""</f>
        <v/>
      </c>
      <c r="T1846" t="str">
        <f>"https://portaletrasparenza.consorziobacchiglione.it/dettagli/attodigara/7380/fornitura-modulo-software-per-la-gestione-informatizzata-delle-pubblicazioni-on-line-di-delibere-e-determine-e-altri-atti-repertoriati-e-protocollati.html"</f>
        <v>https://portaletrasparenza.consorziobacchiglione.it/dettagli/attodigara/7380/fornitura-modulo-software-per-la-gestione-informatizzata-delle-pubblicazioni-on-line-di-delibere-e-determine-e-altri-atti-repertoriati-e-protocollati.html</v>
      </c>
      <c r="U1846" t="str">
        <f>"https://portaletrasparenza.consorziobacchiglione.it/download/attodigara/7380/63ac4600d27df.PDF"</f>
        <v>https://portaletrasparenza.consorziobacchiglione.it/download/attodigara/7380/63ac4600d27df.PDF</v>
      </c>
      <c r="V184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47" spans="1:22" x14ac:dyDescent="0.3">
      <c r="A1847" t="str">
        <f>"Affidamento"</f>
        <v>Affidamento</v>
      </c>
      <c r="B1847" t="str">
        <f>"Contratto di manutenzione e assistenza dei gestionali relativi a protocollo informatico, repertorio compresi esportatori di pubblicazione on line, predisposizione di atti e determine ed esportatore trasparenza triennio 2"</f>
        <v>Contratto di manutenzione e assistenza dei gestionali relativi a protocollo informatico, repertorio compresi esportatori di pubblicazione on line, predisposizione di atti e determine ed esportatore trasparenza triennio 2</v>
      </c>
      <c r="C1847" t="str">
        <f>"Z9034A62C1"</f>
        <v>Z9034A62C1</v>
      </c>
      <c r="D1847" t="str">
        <f>"29/12/2021"</f>
        <v>29/12/2021</v>
      </c>
      <c r="E1847" t="str">
        <f>""</f>
        <v/>
      </c>
      <c r="F1847" t="str">
        <f>""</f>
        <v/>
      </c>
      <c r="G1847" t="str">
        <f>"10038.00"</f>
        <v>10038.00</v>
      </c>
      <c r="H1847" t="str">
        <f>"Consorzio di bonifica Bacchiglione"</f>
        <v>Consorzio di bonifica Bacchiglione</v>
      </c>
      <c r="I1847" t="str">
        <f>"92223390284"</f>
        <v>92223390284</v>
      </c>
      <c r="J1847" t="str">
        <f>"23-AFFIDAMENTO DIRETTO"</f>
        <v>23-AFFIDAMENTO DIRETTO</v>
      </c>
      <c r="K1847" t="str">
        <f>"29/12/2021"</f>
        <v>29/12/2021</v>
      </c>
      <c r="L1847" t="str">
        <f>"31/12/2021"</f>
        <v>31/12/2021</v>
      </c>
      <c r="M1847" t="str">
        <f>""</f>
        <v/>
      </c>
      <c r="N1847" t="str">
        <f>"DATAGRAPH S.R.L."</f>
        <v>DATAGRAPH S.R.L.</v>
      </c>
      <c r="O1847" t="str">
        <f>"DATAGRAPH S.R.L."</f>
        <v>DATAGRAPH S.R.L.</v>
      </c>
      <c r="P1847" t="str">
        <f>"Z9034A62C1: [6692.00€ ]"</f>
        <v>Z9034A62C1: [6692.00€ ]</v>
      </c>
      <c r="Q1847" t="str">
        <f>""</f>
        <v/>
      </c>
      <c r="R1847" t="str">
        <f>""</f>
        <v/>
      </c>
      <c r="S1847" t="str">
        <f>""</f>
        <v/>
      </c>
      <c r="T1847" t="s">
        <v>21</v>
      </c>
      <c r="U1847" t="str">
        <f>"https://portaletrasparenza.consorziobacchiglione.it/download/attodigara/7381/63ac46011772d.PDF"</f>
        <v>https://portaletrasparenza.consorziobacchiglione.it/download/attodigara/7381/63ac46011772d.PDF</v>
      </c>
      <c r="V1847">
        <f>(SUBSTITUTE(Tabella1[[#This Row],[Importo di aggiudicazione]],".",","))-(SUBSTITUTE(  SUBSTITUTE(          SUBSTITUTE(Tabella1[[#This Row],[Dettaglio somme liquidate]],Tabella1[[#This Row],[CIG]]&amp;": [",""),"€ ]",""),".",","))</f>
        <v>3346</v>
      </c>
    </row>
    <row r="1848" spans="1:22" x14ac:dyDescent="0.3">
      <c r="A1848" t="str">
        <f>"Affidamento"</f>
        <v>Affidamento</v>
      </c>
      <c r="B1848" t="str">
        <f>"ID 012-13 Interventi di ammodernamento del sistema di telecomando e telecontrollo, opere elettromeccaniche, impianto di sollevamento di Saccolongo con scarico in Bacchiglione, automazione impianti in gestione al Consorzio - I° Lotto - Nuovo impi"</f>
        <v>ID 012-13 Interventi di ammodernamento del sistema di telecomando e telecontrollo, opere elettromeccaniche, impianto di sollevamento di Saccolongo con scarico in Bacchiglione, automazione impianti in gestione al Consorzio - I° Lotto - Nuovo impi</v>
      </c>
      <c r="C1848" t="str">
        <f>"5837191A63"</f>
        <v>5837191A63</v>
      </c>
      <c r="D1848" t="str">
        <f>"04/11/2021"</f>
        <v>04/11/2021</v>
      </c>
      <c r="E1848" t="str">
        <f>""</f>
        <v/>
      </c>
      <c r="F1848" t="str">
        <f>""</f>
        <v/>
      </c>
      <c r="G1848" t="str">
        <f>"274308.96"</f>
        <v>274308.96</v>
      </c>
      <c r="H1848" t="str">
        <f>"Consorzio di bonifica Bacchiglione"</f>
        <v>Consorzio di bonifica Bacchiglione</v>
      </c>
      <c r="I1848" t="str">
        <f>"92223390284"</f>
        <v>92223390284</v>
      </c>
      <c r="J1848" t="str">
        <f>"04-PROCEDURA NEGOZIATA SENZA PREVIA PUBBLICAZIONE"</f>
        <v>04-PROCEDURA NEGOZIATA SENZA PREVIA PUBBLICAZIONE</v>
      </c>
      <c r="K1848" t="str">
        <f>"30/01/2021"</f>
        <v>30/01/2021</v>
      </c>
      <c r="L1848" t="str">
        <f>"21/02/2021"</f>
        <v>21/02/2021</v>
      </c>
      <c r="M1848" t="str">
        <f>""</f>
        <v/>
      </c>
      <c r="N1848" t="s">
        <v>63</v>
      </c>
      <c r="O1848" t="str">
        <f>"Sincos s.r.l."</f>
        <v>Sincos s.r.l.</v>
      </c>
      <c r="P1848" t="str">
        <f>"5837191A63: [272920.69€ ]"</f>
        <v>5837191A63: [272920.69€ ]</v>
      </c>
      <c r="Q1848" t="str">
        <f>""</f>
        <v/>
      </c>
      <c r="R1848" t="str">
        <f>""</f>
        <v/>
      </c>
      <c r="S1848" t="str">
        <f>""</f>
        <v/>
      </c>
      <c r="T1848" t="s">
        <v>64</v>
      </c>
      <c r="U1848" t="str">
        <f>""</f>
        <v/>
      </c>
      <c r="V1848">
        <f>(SUBSTITUTE(Tabella1[[#This Row],[Importo di aggiudicazione]],".",","))-(SUBSTITUTE(  SUBSTITUTE(          SUBSTITUTE(Tabella1[[#This Row],[Dettaglio somme liquidate]],Tabella1[[#This Row],[CIG]]&amp;": [",""),"€ ]",""),".",","))</f>
        <v>1388.2700000000186</v>
      </c>
    </row>
    <row r="1849" spans="1:22" x14ac:dyDescent="0.3">
      <c r="A1849" t="str">
        <f>"Affidamento"</f>
        <v>Affidamento</v>
      </c>
      <c r="B1849" t="str">
        <f>"Fornitura n.3 guanti Dielettrico Cat 3 per manutenzione impianti"</f>
        <v>Fornitura n.3 guanti Dielettrico Cat 3 per manutenzione impianti</v>
      </c>
      <c r="C1849" t="str">
        <f>"ZF3313120E"</f>
        <v>ZF3313120E</v>
      </c>
      <c r="D1849" t="str">
        <f>"06/04/2021"</f>
        <v>06/04/2021</v>
      </c>
      <c r="E1849" t="str">
        <f>""</f>
        <v/>
      </c>
      <c r="F1849" t="str">
        <f>""</f>
        <v/>
      </c>
      <c r="G1849" t="str">
        <f>"195.00"</f>
        <v>195.00</v>
      </c>
      <c r="H1849" t="str">
        <f>"Consorzio di bonifica Bacchiglione"</f>
        <v>Consorzio di bonifica Bacchiglione</v>
      </c>
      <c r="I1849" t="str">
        <f>"92223390284"</f>
        <v>92223390284</v>
      </c>
      <c r="J1849" t="str">
        <f>"23-AFFIDAMENTO DIRETTO"</f>
        <v>23-AFFIDAMENTO DIRETTO</v>
      </c>
      <c r="K1849" t="str">
        <f>"30/03/2021"</f>
        <v>30/03/2021</v>
      </c>
      <c r="L1849" t="str">
        <f>"31/05/2021"</f>
        <v>31/05/2021</v>
      </c>
      <c r="M1849" t="str">
        <f>""</f>
        <v/>
      </c>
      <c r="N1849" t="str">
        <f>"Chinello antinfortunistica via Padana 34 Z.I. Vigorovea di S.Angelo di Piove di Sacco PD"</f>
        <v>Chinello antinfortunistica via Padana 34 Z.I. Vigorovea di S.Angelo di Piove di Sacco PD</v>
      </c>
      <c r="O1849" t="str">
        <f>"Chinello antinfortunistica via Padana 34 Z.I. Vigorovea di S.Angelo di Piove di Sacco PD"</f>
        <v>Chinello antinfortunistica via Padana 34 Z.I. Vigorovea di S.Angelo di Piove di Sacco PD</v>
      </c>
      <c r="P1849" t="str">
        <f>"ZF3313120E: [195.00€ ]"</f>
        <v>ZF3313120E: [195.00€ ]</v>
      </c>
      <c r="Q1849" t="str">
        <f>""</f>
        <v/>
      </c>
      <c r="R1849" t="str">
        <f>""</f>
        <v/>
      </c>
      <c r="S1849" t="str">
        <f>""</f>
        <v/>
      </c>
      <c r="T1849" t="str">
        <f>"https://portaletrasparenza.consorziobacchiglione.it/dettagli/attodigara/6748/fornitura-n-3-guanti-dielettrico-cat-3-per-manutenzione-impianti.html"</f>
        <v>https://portaletrasparenza.consorziobacchiglione.it/dettagli/attodigara/6748/fornitura-n-3-guanti-dielettrico-cat-3-per-manutenzione-impianti.html</v>
      </c>
      <c r="U1849" t="str">
        <f>"https://portaletrasparenza.consorziobacchiglione.it/download/attodigara/6748/63ac45787b012.PDF"</f>
        <v>https://portaletrasparenza.consorziobacchiglione.it/download/attodigara/6748/63ac45787b012.PDF</v>
      </c>
      <c r="V184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50" spans="1:22" x14ac:dyDescent="0.3">
      <c r="A1850" t="str">
        <f>"Affidamento"</f>
        <v>Affidamento</v>
      </c>
      <c r="B1850" t="str">
        <f>"Fornitura cartucce varie con codice P2V67A, P2V62A, P2V63A, P2V66A per nuovo plotter HP Designjet T1700 presso sede consorziale"</f>
        <v>Fornitura cartucce varie con codice P2V67A, P2V62A, P2V63A, P2V66A per nuovo plotter HP Designjet T1700 presso sede consorziale</v>
      </c>
      <c r="C1850" t="str">
        <f>"Z3231321B0"</f>
        <v>Z3231321B0</v>
      </c>
      <c r="D1850" t="str">
        <f>"30/03/2021"</f>
        <v>30/03/2021</v>
      </c>
      <c r="E1850" t="str">
        <f>""</f>
        <v/>
      </c>
      <c r="F1850" t="str">
        <f>""</f>
        <v/>
      </c>
      <c r="G1850" t="str">
        <f>"647.91"</f>
        <v>647.91</v>
      </c>
      <c r="H1850" t="str">
        <f>"Consorzio di bonifica Bacchiglione"</f>
        <v>Consorzio di bonifica Bacchiglione</v>
      </c>
      <c r="I1850" t="str">
        <f>"92223390284"</f>
        <v>92223390284</v>
      </c>
      <c r="J1850" t="str">
        <f>"23-AFFIDAMENTO DIRETTO"</f>
        <v>23-AFFIDAMENTO DIRETTO</v>
      </c>
      <c r="K1850" t="str">
        <f>"30/03/2021"</f>
        <v>30/03/2021</v>
      </c>
      <c r="L1850" t="str">
        <f>"07/04/2021"</f>
        <v>07/04/2021</v>
      </c>
      <c r="M1850" t="str">
        <f>""</f>
        <v/>
      </c>
      <c r="N1850" t="str">
        <f>"BM Office E Service di Mattioli Maurizio Via Vicenza 8 30010 Cona VE"</f>
        <v>BM Office E Service di Mattioli Maurizio Via Vicenza 8 30010 Cona VE</v>
      </c>
      <c r="O1850" t="str">
        <f>"BM Office E Service di Mattioli Maurizio Via Vicenza 8 30010 Cona VE"</f>
        <v>BM Office E Service di Mattioli Maurizio Via Vicenza 8 30010 Cona VE</v>
      </c>
      <c r="P1850" t="str">
        <f>"Z3231321B0: [647.91€ ]"</f>
        <v>Z3231321B0: [647.91€ ]</v>
      </c>
      <c r="Q1850" t="str">
        <f>""</f>
        <v/>
      </c>
      <c r="R1850" t="str">
        <f>""</f>
        <v/>
      </c>
      <c r="S1850" t="str">
        <f>""</f>
        <v/>
      </c>
      <c r="T1850" t="str">
        <f>"https://portaletrasparenza.consorziobacchiglione.it/dettagli/attodigara/6751/fornitura-cartucce-varie-con-codice-p2v67a-p2v62a-p2v63a-p2v66a-per-nuovo-plotter-hp-designjet-t1700-presso-sede-consorziale.html"</f>
        <v>https://portaletrasparenza.consorziobacchiglione.it/dettagli/attodigara/6751/fornitura-cartucce-varie-con-codice-p2v67a-p2v62a-p2v63a-p2v66a-per-nuovo-plotter-hp-designjet-t1700-presso-sede-consorziale.html</v>
      </c>
      <c r="U1850" t="str">
        <f>"https://portaletrasparenza.consorziobacchiglione.it/download/attodigara/6751/63ac4574f356a.PDF"</f>
        <v>https://portaletrasparenza.consorziobacchiglione.it/download/attodigara/6751/63ac4574f356a.PDF</v>
      </c>
      <c r="V185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51" spans="1:22" x14ac:dyDescent="0.3">
      <c r="A1851" t="str">
        <f>"Affidamento"</f>
        <v>Affidamento</v>
      </c>
      <c r="B1851" t="str">
        <f>"Progettazione ed installazione Software telecontrollo presso Impianto Via Magenta Ponte S.Nicolò (PD)"</f>
        <v>Progettazione ed installazione Software telecontrollo presso Impianto Via Magenta Ponte S.Nicolò (PD)</v>
      </c>
      <c r="C1851" t="str">
        <f>"ZAA31320B2"</f>
        <v>ZAA31320B2</v>
      </c>
      <c r="D1851" t="str">
        <f>"30/03/2021"</f>
        <v>30/03/2021</v>
      </c>
      <c r="E1851" t="str">
        <f>""</f>
        <v/>
      </c>
      <c r="F1851" t="str">
        <f>""</f>
        <v/>
      </c>
      <c r="G1851" t="str">
        <f>"1680.00"</f>
        <v>1680.00</v>
      </c>
      <c r="H1851" t="str">
        <f>"Consorzio di bonifica Bacchiglione"</f>
        <v>Consorzio di bonifica Bacchiglione</v>
      </c>
      <c r="I1851" t="str">
        <f>"92223390284"</f>
        <v>92223390284</v>
      </c>
      <c r="J1851" t="str">
        <f>"23-AFFIDAMENTO DIRETTO"</f>
        <v>23-AFFIDAMENTO DIRETTO</v>
      </c>
      <c r="K1851" t="str">
        <f>"30/03/2021"</f>
        <v>30/03/2021</v>
      </c>
      <c r="L1851" t="str">
        <f>"27/04/2021"</f>
        <v>27/04/2021</v>
      </c>
      <c r="M1851" t="str">
        <f>""</f>
        <v/>
      </c>
      <c r="N1851" t="str">
        <f>"Omnicon Srl Via Petrarca 14a 20843 Verano Brianza MB"</f>
        <v>Omnicon Srl Via Petrarca 14a 20843 Verano Brianza MB</v>
      </c>
      <c r="O1851" t="str">
        <f>"Omnicon Srl Via Petrarca 14a 20843 Verano Brianza MB"</f>
        <v>Omnicon Srl Via Petrarca 14a 20843 Verano Brianza MB</v>
      </c>
      <c r="P1851" t="str">
        <f>"ZAA31320B2: [1680.00€ ]"</f>
        <v>ZAA31320B2: [1680.00€ ]</v>
      </c>
      <c r="Q1851" t="str">
        <f>""</f>
        <v/>
      </c>
      <c r="R1851" t="str">
        <f>""</f>
        <v/>
      </c>
      <c r="S1851" t="str">
        <f>""</f>
        <v/>
      </c>
      <c r="T1851" t="str">
        <f>"https://portaletrasparenza.consorziobacchiglione.it/dettagli/attodigara/6750/progettazione-ed-installazione-software-telecontrollo-presso-impianto-via-magenta-ponte-s-nicolo-pd.html"</f>
        <v>https://portaletrasparenza.consorziobacchiglione.it/dettagli/attodigara/6750/progettazione-ed-installazione-software-telecontrollo-presso-impianto-via-magenta-ponte-s-nicolo-pd.html</v>
      </c>
      <c r="U1851" t="str">
        <f>"https://portaletrasparenza.consorziobacchiglione.it/download/attodigara/6750/63ac4574bae9a.PDF"</f>
        <v>https://portaletrasparenza.consorziobacchiglione.it/download/attodigara/6750/63ac4574bae9a.PDF</v>
      </c>
      <c r="V185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52" spans="1:22" x14ac:dyDescent="0.3">
      <c r="A1852" t="str">
        <f>"Affidamento"</f>
        <v>Affidamento</v>
      </c>
      <c r="B1852" t="str">
        <f>"Modifica della ribaltina della paratoia presso scolo Orsaretto"</f>
        <v>Modifica della ribaltina della paratoia presso scolo Orsaretto</v>
      </c>
      <c r="C1852" t="str">
        <f>"Z8531317B4"</f>
        <v>Z8531317B4</v>
      </c>
      <c r="D1852" t="str">
        <f>"30/03/2021"</f>
        <v>30/03/2021</v>
      </c>
      <c r="E1852" t="str">
        <f>""</f>
        <v/>
      </c>
      <c r="F1852" t="str">
        <f>""</f>
        <v/>
      </c>
      <c r="G1852" t="str">
        <f>"930.00"</f>
        <v>930.00</v>
      </c>
      <c r="H1852" t="str">
        <f>"Consorzio di bonifica Bacchiglione"</f>
        <v>Consorzio di bonifica Bacchiglione</v>
      </c>
      <c r="I1852" t="str">
        <f>"92223390284"</f>
        <v>92223390284</v>
      </c>
      <c r="J1852" t="str">
        <f>"23-AFFIDAMENTO DIRETTO"</f>
        <v>23-AFFIDAMENTO DIRETTO</v>
      </c>
      <c r="K1852" t="str">
        <f>"30/03/2021"</f>
        <v>30/03/2021</v>
      </c>
      <c r="L1852" t="str">
        <f>"29/04/2021"</f>
        <v>29/04/2021</v>
      </c>
      <c r="M1852" t="str">
        <f>""</f>
        <v/>
      </c>
      <c r="N1852" t="str">
        <f>"O.ME.CA. di Cavalletto Paolo S.R.L. Via Maestri del Lavoro 19 30034 Gambarare di Mira VE"</f>
        <v>O.ME.CA. di Cavalletto Paolo S.R.L. Via Maestri del Lavoro 19 30034 Gambarare di Mira VE</v>
      </c>
      <c r="O1852" t="str">
        <f>"O.ME.CA. di Cavalletto Paolo S.R.L. Via Maestri del Lavoro 19 30034 Gambarare di Mira VE"</f>
        <v>O.ME.CA. di Cavalletto Paolo S.R.L. Via Maestri del Lavoro 19 30034 Gambarare di Mira VE</v>
      </c>
      <c r="P1852" t="str">
        <f>"Z8531317B4: [930.00€ ]"</f>
        <v>Z8531317B4: [930.00€ ]</v>
      </c>
      <c r="Q1852" t="str">
        <f>""</f>
        <v/>
      </c>
      <c r="R1852" t="str">
        <f>""</f>
        <v/>
      </c>
      <c r="S1852" t="str">
        <f>""</f>
        <v/>
      </c>
      <c r="T1852" t="str">
        <f>"https://portaletrasparenza.consorziobacchiglione.it/dettagli/attodigara/6749/modifica-della-ribaltina-della-paratoia-presso-scolo-orsaretto.html"</f>
        <v>https://portaletrasparenza.consorziobacchiglione.it/dettagli/attodigara/6749/modifica-della-ribaltina-della-paratoia-presso-scolo-orsaretto.html</v>
      </c>
      <c r="U1852" t="str">
        <f>"https://portaletrasparenza.consorziobacchiglione.it/download/attodigara/6749/63ac4574827fa.PDF"</f>
        <v>https://portaletrasparenza.consorziobacchiglione.it/download/attodigara/6749/63ac4574827fa.PDF</v>
      </c>
      <c r="V185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53" spans="1:22" x14ac:dyDescent="0.3">
      <c r="A1853" t="str">
        <f>"Affidamento"</f>
        <v>Affidamento</v>
      </c>
      <c r="B1853" t="str">
        <f>"Saldatura tubazione idraulica presso paratoia Cà Murà (scolo Cà Murà)"</f>
        <v>Saldatura tubazione idraulica presso paratoia Cà Murà (scolo Cà Murà)</v>
      </c>
      <c r="C1853" t="str">
        <f>"ZF1312FEE3"</f>
        <v>ZF1312FEE3</v>
      </c>
      <c r="D1853" t="str">
        <f>"30/03/2021"</f>
        <v>30/03/2021</v>
      </c>
      <c r="E1853" t="str">
        <f>""</f>
        <v/>
      </c>
      <c r="F1853" t="str">
        <f>""</f>
        <v/>
      </c>
      <c r="G1853" t="str">
        <f>"60.00"</f>
        <v>60.00</v>
      </c>
      <c r="H1853" t="str">
        <f>"Consorzio di bonifica Bacchiglione"</f>
        <v>Consorzio di bonifica Bacchiglione</v>
      </c>
      <c r="I1853" t="str">
        <f>"92223390284"</f>
        <v>92223390284</v>
      </c>
      <c r="J1853" t="str">
        <f>"23-AFFIDAMENTO DIRETTO"</f>
        <v>23-AFFIDAMENTO DIRETTO</v>
      </c>
      <c r="K1853" t="str">
        <f>"30/03/2021"</f>
        <v>30/03/2021</v>
      </c>
      <c r="L1853" t="str">
        <f>"02/04/2021"</f>
        <v>02/04/2021</v>
      </c>
      <c r="M1853" t="str">
        <f>""</f>
        <v/>
      </c>
      <c r="N1853" t="str">
        <f>"Officina Biesse S.n.c. Via Matteotti 24 35020 Arzergrande PD"</f>
        <v>Officina Biesse S.n.c. Via Matteotti 24 35020 Arzergrande PD</v>
      </c>
      <c r="O1853" t="str">
        <f>"Officina Biesse S.n.c. Via Matteotti 24 35020 Arzergrande PD"</f>
        <v>Officina Biesse S.n.c. Via Matteotti 24 35020 Arzergrande PD</v>
      </c>
      <c r="P1853" t="str">
        <f>"ZF1312FEE3: [60.00€ ]"</f>
        <v>ZF1312FEE3: [60.00€ ]</v>
      </c>
      <c r="Q1853" t="str">
        <f>""</f>
        <v/>
      </c>
      <c r="R1853" t="str">
        <f>""</f>
        <v/>
      </c>
      <c r="S1853" t="str">
        <f>""</f>
        <v/>
      </c>
      <c r="T1853" t="str">
        <f>"https://portaletrasparenza.consorziobacchiglione.it/dettagli/attodigara/6747/saldatura-tubazione-idraulica-presso-paratoia-ca-mura-scolo-ca-mura.html"</f>
        <v>https://portaletrasparenza.consorziobacchiglione.it/dettagli/attodigara/6747/saldatura-tubazione-idraulica-presso-paratoia-ca-mura-scolo-ca-mura.html</v>
      </c>
      <c r="U1853" t="str">
        <f>"https://portaletrasparenza.consorziobacchiglione.it/download/attodigara/6747/63ac45744a34f.PDF"</f>
        <v>https://portaletrasparenza.consorziobacchiglione.it/download/attodigara/6747/63ac45744a34f.PDF</v>
      </c>
      <c r="V185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54" spans="1:22" x14ac:dyDescent="0.3">
      <c r="A1854" t="str">
        <f>"Affidamento"</f>
        <v>Affidamento</v>
      </c>
      <c r="B1854" t="str">
        <f>"Fornitura di n.4 pompe del vuoto complete di Motore da distribuire in n.2 presso l Impianto Idrovoro Trezze e n.2 per l Impianto Idrovoro Bernio"</f>
        <v>Fornitura di n.4 pompe del vuoto complete di Motore da distribuire in n.2 presso l Impianto Idrovoro Trezze e n.2 per l Impianto Idrovoro Bernio</v>
      </c>
      <c r="C1854" t="str">
        <f>"Z0431323FF"</f>
        <v>Z0431323FF</v>
      </c>
      <c r="D1854" t="str">
        <f>"31/03/2021"</f>
        <v>31/03/2021</v>
      </c>
      <c r="E1854" t="str">
        <f>""</f>
        <v/>
      </c>
      <c r="F1854" t="str">
        <f>""</f>
        <v/>
      </c>
      <c r="G1854" t="str">
        <f>"13880.00"</f>
        <v>13880.00</v>
      </c>
      <c r="H1854" t="str">
        <f>"Consorzio di bonifica Bacchiglione"</f>
        <v>Consorzio di bonifica Bacchiglione</v>
      </c>
      <c r="I1854" t="str">
        <f>"92223390284"</f>
        <v>92223390284</v>
      </c>
      <c r="J1854" t="str">
        <f>"23-AFFIDAMENTO DIRETTO"</f>
        <v>23-AFFIDAMENTO DIRETTO</v>
      </c>
      <c r="K1854" t="str">
        <f>"30/03/2021"</f>
        <v>30/03/2021</v>
      </c>
      <c r="L1854" t="str">
        <f>"30/06/2021"</f>
        <v>30/06/2021</v>
      </c>
      <c r="M1854" t="str">
        <f>""</f>
        <v/>
      </c>
      <c r="N1854" t="str">
        <f>"Scarpa Sergio Elettromeccanica S.n.c. di Scarpa Paola E C. Via A. Vivaldi 7 35028 Piove di Sacco PD"</f>
        <v>Scarpa Sergio Elettromeccanica S.n.c. di Scarpa Paola E C. Via A. Vivaldi 7 35028 Piove di Sacco PD</v>
      </c>
      <c r="O1854" t="str">
        <f>"Scarpa Sergio Elettromeccanica S.n.c. di Scarpa Paola E C. Via A. Vivaldi 7 35028 Piove di Sacco PD"</f>
        <v>Scarpa Sergio Elettromeccanica S.n.c. di Scarpa Paola E C. Via A. Vivaldi 7 35028 Piove di Sacco PD</v>
      </c>
      <c r="P1854" t="str">
        <f>"Z0431323FF: [13880.00€ ]"</f>
        <v>Z0431323FF: [13880.00€ ]</v>
      </c>
      <c r="Q1854" t="str">
        <f>""</f>
        <v/>
      </c>
      <c r="R1854" t="str">
        <f>""</f>
        <v/>
      </c>
      <c r="S1854" t="str">
        <f>""</f>
        <v/>
      </c>
      <c r="T1854" t="str">
        <f>"https://portaletrasparenza.consorziobacchiglione.it/dettagli/attodigara/6752/fornitura-di-n-4-pompe-del-vuoto-complete-di-motore-da-distribuire-in-n-2-presso-l-impianto-idrovoro-trezze-e-n-2-per-l-impianto-idrovoro-bernio.html"</f>
        <v>https://portaletrasparenza.consorziobacchiglione.it/dettagli/attodigara/6752/fornitura-di-n-4-pompe-del-vuoto-complete-di-motore-da-distribuire-in-n-2-presso-l-impianto-idrovoro-trezze-e-n-2-per-l-impianto-idrovoro-bernio.html</v>
      </c>
      <c r="U1854" t="str">
        <f>"https://portaletrasparenza.consorziobacchiglione.it/download/attodigara/6752/63ac4575377fd.PDF"</f>
        <v>https://portaletrasparenza.consorziobacchiglione.it/download/attodigara/6752/63ac4575377fd.PDF</v>
      </c>
      <c r="V185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55" spans="1:22" x14ac:dyDescent="0.3">
      <c r="A1855" t="str">
        <f>"Affidamento"</f>
        <v>Affidamento</v>
      </c>
      <c r="B1855" t="str">
        <f>"Smontaggio braccio, ripristino manicotto primo braccio e rimontaggio presso mezzo targato: AJR631"</f>
        <v>Smontaggio braccio, ripristino manicotto primo braccio e rimontaggio presso mezzo targato: AJR631</v>
      </c>
      <c r="C1855" t="str">
        <f>"Z0531921B8"</f>
        <v>Z0531921B8</v>
      </c>
      <c r="D1855" t="str">
        <f>"03/05/2021"</f>
        <v>03/05/2021</v>
      </c>
      <c r="E1855" t="str">
        <f>""</f>
        <v/>
      </c>
      <c r="F1855" t="str">
        <f>""</f>
        <v/>
      </c>
      <c r="G1855" t="str">
        <f>"800.00"</f>
        <v>800.00</v>
      </c>
      <c r="H1855" t="str">
        <f>"Consorzio di bonifica Bacchiglione"</f>
        <v>Consorzio di bonifica Bacchiglione</v>
      </c>
      <c r="I1855" t="str">
        <f>"92223390284"</f>
        <v>92223390284</v>
      </c>
      <c r="J1855" t="str">
        <f>"23-AFFIDAMENTO DIRETTO"</f>
        <v>23-AFFIDAMENTO DIRETTO</v>
      </c>
      <c r="K1855" t="str">
        <f>"30/04/2021"</f>
        <v>30/04/2021</v>
      </c>
      <c r="L1855" t="str">
        <f>"13/05/2021"</f>
        <v>13/05/2021</v>
      </c>
      <c r="M1855" t="str">
        <f>""</f>
        <v/>
      </c>
      <c r="N1855" t="str">
        <f>"Hymach s.r.l. Viale del Commercio 73 45039 Stienta RO"</f>
        <v>Hymach s.r.l. Viale del Commercio 73 45039 Stienta RO</v>
      </c>
      <c r="O1855" t="str">
        <f>"Hymach s.r.l. Viale del Commercio 73 45039 Stienta RO"</f>
        <v>Hymach s.r.l. Viale del Commercio 73 45039 Stienta RO</v>
      </c>
      <c r="P1855" t="str">
        <f>"Z0531921B8: [800.00€ ]"</f>
        <v>Z0531921B8: [800.00€ ]</v>
      </c>
      <c r="Q1855" t="str">
        <f>""</f>
        <v/>
      </c>
      <c r="R1855" t="str">
        <f>""</f>
        <v/>
      </c>
      <c r="S1855" t="str">
        <f>""</f>
        <v/>
      </c>
      <c r="T1855" t="str">
        <f>"https://portaletrasparenza.consorziobacchiglione.it/dettagli/attodigara/6850/smontaggio-braccio-ripristino-manicotto-primo-braccio-e-rimontaggio-presso-mezzo-targato-ajr631.html"</f>
        <v>https://portaletrasparenza.consorziobacchiglione.it/dettagli/attodigara/6850/smontaggio-braccio-ripristino-manicotto-primo-braccio-e-rimontaggio-presso-mezzo-targato-ajr631.html</v>
      </c>
      <c r="U1855" t="str">
        <f>"https://portaletrasparenza.consorziobacchiglione.it/download/attodigara/6850/63ac458813def.PDF"</f>
        <v>https://portaletrasparenza.consorziobacchiglione.it/download/attodigara/6850/63ac458813def.PDF</v>
      </c>
      <c r="V185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56" spans="1:22" x14ac:dyDescent="0.3">
      <c r="A1856" t="str">
        <f>"Affidamento"</f>
        <v>Affidamento</v>
      </c>
      <c r="B1856" t="str">
        <f>"Fornitura materiale elettrico per vari Impianti"</f>
        <v>Fornitura materiale elettrico per vari Impianti</v>
      </c>
      <c r="C1856" t="str">
        <f>"Z2931920A3"</f>
        <v>Z2931920A3</v>
      </c>
      <c r="D1856" t="str">
        <f>"19/07/2021"</f>
        <v>19/07/2021</v>
      </c>
      <c r="E1856" t="str">
        <f>""</f>
        <v/>
      </c>
      <c r="F1856" t="str">
        <f>""</f>
        <v/>
      </c>
      <c r="G1856" t="str">
        <f>"726.53"</f>
        <v>726.53</v>
      </c>
      <c r="H1856" t="str">
        <f>"Consorzio di bonifica Bacchiglione"</f>
        <v>Consorzio di bonifica Bacchiglione</v>
      </c>
      <c r="I1856" t="str">
        <f>"92223390284"</f>
        <v>92223390284</v>
      </c>
      <c r="J1856" t="str">
        <f>"23-AFFIDAMENTO DIRETTO"</f>
        <v>23-AFFIDAMENTO DIRETTO</v>
      </c>
      <c r="K1856" t="str">
        <f>"30/04/2021"</f>
        <v>30/04/2021</v>
      </c>
      <c r="L1856" t="str">
        <f>"31/05/2021"</f>
        <v>31/05/2021</v>
      </c>
      <c r="M1856" t="str">
        <f>""</f>
        <v/>
      </c>
      <c r="N1856" t="str">
        <f>"Elettroveneta S.p.A. Viale della Navigazione Interna, 48 - 35129 Padova (PD)"</f>
        <v>Elettroveneta S.p.A. Viale della Navigazione Interna, 48 - 35129 Padova (PD)</v>
      </c>
      <c r="O1856" t="str">
        <f>"Elettroveneta S.p.A. Viale della Navigazione Interna, 48 - 35129 Padova (PD)"</f>
        <v>Elettroveneta S.p.A. Viale della Navigazione Interna, 48 - 35129 Padova (PD)</v>
      </c>
      <c r="P1856" t="str">
        <f>"Z2931920A3: [726.53€ ]"</f>
        <v>Z2931920A3: [726.53€ ]</v>
      </c>
      <c r="Q1856" t="str">
        <f>""</f>
        <v/>
      </c>
      <c r="R1856" t="str">
        <f>""</f>
        <v/>
      </c>
      <c r="S1856" t="str">
        <f>""</f>
        <v/>
      </c>
      <c r="T1856" t="str">
        <f>"https://portaletrasparenza.consorziobacchiglione.it/dettagli/attodigara/6849/fornitura-materiale-elettrico-per-vari-impianti.html"</f>
        <v>https://portaletrasparenza.consorziobacchiglione.it/dettagli/attodigara/6849/fornitura-materiale-elettrico-per-vari-impianti.html</v>
      </c>
      <c r="U1856" t="str">
        <f>"https://portaletrasparenza.consorziobacchiglione.it/download/attodigara/6849/63ac45a61944c.PDF"</f>
        <v>https://portaletrasparenza.consorziobacchiglione.it/download/attodigara/6849/63ac45a61944c.PDF</v>
      </c>
      <c r="V185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57" spans="1:22" x14ac:dyDescent="0.3">
      <c r="A1857" t="str">
        <f>"Affidamento"</f>
        <v>Affidamento</v>
      </c>
      <c r="B1857" t="str">
        <f>"Fornitura cartelli in alluminio scatolato, decorati con riproduzione di grafica in stampa digitale per esterno, completi di staffe e bulloni presso vari Impianti"</f>
        <v>Fornitura cartelli in alluminio scatolato, decorati con riproduzione di grafica in stampa digitale per esterno, completi di staffe e bulloni presso vari Impianti</v>
      </c>
      <c r="C1857" t="str">
        <f>"ZC03191F2D"</f>
        <v>ZC03191F2D</v>
      </c>
      <c r="D1857" t="str">
        <f>"30/04/2021"</f>
        <v>30/04/2021</v>
      </c>
      <c r="E1857" t="str">
        <f>""</f>
        <v/>
      </c>
      <c r="F1857" t="str">
        <f>""</f>
        <v/>
      </c>
      <c r="G1857" t="str">
        <f>"5495.00"</f>
        <v>5495.00</v>
      </c>
      <c r="H1857" t="str">
        <f>"Consorzio di bonifica Bacchiglione"</f>
        <v>Consorzio di bonifica Bacchiglione</v>
      </c>
      <c r="I1857" t="str">
        <f>"92223390284"</f>
        <v>92223390284</v>
      </c>
      <c r="J1857" t="str">
        <f>"23-AFFIDAMENTO DIRETTO"</f>
        <v>23-AFFIDAMENTO DIRETTO</v>
      </c>
      <c r="K1857" t="str">
        <f>"30/04/2021"</f>
        <v>30/04/2021</v>
      </c>
      <c r="L1857" t="str">
        <f>"13/07/2021"</f>
        <v>13/07/2021</v>
      </c>
      <c r="M1857" t="str">
        <f>""</f>
        <v/>
      </c>
      <c r="N1857" t="str">
        <f>"GraphicReport di Brigato A. e C. Via Terza Strada 16 Z.I. 35026 Conselve PD"</f>
        <v>GraphicReport di Brigato A. e C. Via Terza Strada 16 Z.I. 35026 Conselve PD</v>
      </c>
      <c r="O1857" t="str">
        <f>"GraphicReport di Brigato A. e C. Via Terza Strada 16 Z.I. 35026 Conselve PD"</f>
        <v>GraphicReport di Brigato A. e C. Via Terza Strada 16 Z.I. 35026 Conselve PD</v>
      </c>
      <c r="P1857" t="str">
        <f>"ZC03191F2D: [5495.00€ ]"</f>
        <v>ZC03191F2D: [5495.00€ ]</v>
      </c>
      <c r="Q1857" t="str">
        <f>""</f>
        <v/>
      </c>
      <c r="R1857" t="str">
        <f>""</f>
        <v/>
      </c>
      <c r="S1857" t="str">
        <f>""</f>
        <v/>
      </c>
      <c r="T1857" t="str">
        <f>"https://portaletrasparenza.consorziobacchiglione.it/dettagli/attodigara/6848/fornitura-cartelli-in-alluminio-scatolato-decorati-con-riproduzione-di-grafica-in-stampa-digitale-per-esterno-completi-di-staffe-e-bulloni-presso-vari-impianti.html"</f>
        <v>https://portaletrasparenza.consorziobacchiglione.it/dettagli/attodigara/6848/fornitura-cartelli-in-alluminio-scatolato-decorati-con-riproduzione-di-grafica-in-stampa-digitale-per-esterno-completi-di-staffe-e-bulloni-presso-vari-impianti.html</v>
      </c>
      <c r="U1857" t="str">
        <f>"https://portaletrasparenza.consorziobacchiglione.it/download/attodigara/6848/63ac4587cfa9c.PDF"</f>
        <v>https://portaletrasparenza.consorziobacchiglione.it/download/attodigara/6848/63ac4587cfa9c.PDF</v>
      </c>
      <c r="V185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58" spans="1:22" x14ac:dyDescent="0.3">
      <c r="A1858" t="str">
        <f>"Affidamento"</f>
        <v>Affidamento</v>
      </c>
      <c r="B1858" t="str">
        <f>"Riparazione e manutenzione mezzo con targa: AKS633"</f>
        <v>Riparazione e manutenzione mezzo con targa: AKS633</v>
      </c>
      <c r="C1858" t="str">
        <f>"Z9D31911D2"</f>
        <v>Z9D31911D2</v>
      </c>
      <c r="D1858" t="str">
        <f>"30/04/2021"</f>
        <v>30/04/2021</v>
      </c>
      <c r="E1858" t="str">
        <f>""</f>
        <v/>
      </c>
      <c r="F1858" t="str">
        <f>""</f>
        <v/>
      </c>
      <c r="G1858" t="str">
        <f>"1112.36"</f>
        <v>1112.36</v>
      </c>
      <c r="H1858" t="str">
        <f>"Consorzio di bonifica Bacchiglione"</f>
        <v>Consorzio di bonifica Bacchiglione</v>
      </c>
      <c r="I1858" t="str">
        <f>"92223390284"</f>
        <v>92223390284</v>
      </c>
      <c r="J1858" t="str">
        <f>"23-AFFIDAMENTO DIRETTO"</f>
        <v>23-AFFIDAMENTO DIRETTO</v>
      </c>
      <c r="K1858" t="str">
        <f>"30/04/2021"</f>
        <v>30/04/2021</v>
      </c>
      <c r="L1858" t="str">
        <f>"11/05/2021"</f>
        <v>11/05/2021</v>
      </c>
      <c r="M1858" t="str">
        <f>""</f>
        <v/>
      </c>
      <c r="N1858" t="str">
        <f>"Autoriparazioni Ravazzolo s.r.l. Via Roma 259a 35030 Montemerlo di Cervarese Santa Croce PD"</f>
        <v>Autoriparazioni Ravazzolo s.r.l. Via Roma 259a 35030 Montemerlo di Cervarese Santa Croce PD</v>
      </c>
      <c r="O1858" t="str">
        <f>"Autoriparazioni Ravazzolo s.r.l. Via Roma 259a 35030 Montemerlo di Cervarese Santa Croce PD"</f>
        <v>Autoriparazioni Ravazzolo s.r.l. Via Roma 259a 35030 Montemerlo di Cervarese Santa Croce PD</v>
      </c>
      <c r="P1858" t="str">
        <f>"Z9D31911D2: [1112.36€ ]"</f>
        <v>Z9D31911D2: [1112.36€ ]</v>
      </c>
      <c r="Q1858" t="str">
        <f>""</f>
        <v/>
      </c>
      <c r="R1858" t="str">
        <f>""</f>
        <v/>
      </c>
      <c r="S1858" t="str">
        <f>""</f>
        <v/>
      </c>
      <c r="T1858" t="str">
        <f>"https://portaletrasparenza.consorziobacchiglione.it/dettagli/attodigara/6847/riparazione-e-manutenzione-mezzo-con-targa-aks633.html"</f>
        <v>https://portaletrasparenza.consorziobacchiglione.it/dettagli/attodigara/6847/riparazione-e-manutenzione-mezzo-con-targa-aks633.html</v>
      </c>
      <c r="U1858" t="str">
        <f>"https://portaletrasparenza.consorziobacchiglione.it/download/attodigara/6847/63ac4587975c1.PDF"</f>
        <v>https://portaletrasparenza.consorziobacchiglione.it/download/attodigara/6847/63ac4587975c1.PDF</v>
      </c>
      <c r="V185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59" spans="1:22" x14ac:dyDescent="0.3">
      <c r="A1859" t="str">
        <f>"Affidamento"</f>
        <v>Affidamento</v>
      </c>
      <c r="B1859" t="str">
        <f>"Ripristino funzionamento interno telefonico n 206 presso sede consorziale."</f>
        <v>Ripristino funzionamento interno telefonico n 206 presso sede consorziale.</v>
      </c>
      <c r="C1859" t="str">
        <f>"Z9A1A17D4E"</f>
        <v>Z9A1A17D4E</v>
      </c>
      <c r="D1859" t="str">
        <f>"04/11/2021"</f>
        <v>04/11/2021</v>
      </c>
      <c r="E1859" t="str">
        <f>""</f>
        <v/>
      </c>
      <c r="F1859" t="str">
        <f>""</f>
        <v/>
      </c>
      <c r="G1859" t="str">
        <f>"184.00"</f>
        <v>184.00</v>
      </c>
      <c r="H1859" t="str">
        <f>"Consorzio di bonifica Bacchiglione"</f>
        <v>Consorzio di bonifica Bacchiglione</v>
      </c>
      <c r="I1859" t="str">
        <f>"92223390284"</f>
        <v>92223390284</v>
      </c>
      <c r="J1859" t="str">
        <f>"23-AFFIDAMENTO DIRETTO"</f>
        <v>23-AFFIDAMENTO DIRETTO</v>
      </c>
      <c r="K1859" t="str">
        <f>"30/05/2021"</f>
        <v>30/05/2021</v>
      </c>
      <c r="L1859" t="str">
        <f>"22/07/2021"</f>
        <v>22/07/2021</v>
      </c>
      <c r="M1859" t="str">
        <f>""</f>
        <v/>
      </c>
      <c r="N1859" t="str">
        <f>"Telecom s.r.l. Via Marignana 98 31021 Marocco di Mogliano Veneto TV"</f>
        <v>Telecom s.r.l. Via Marignana 98 31021 Marocco di Mogliano Veneto TV</v>
      </c>
      <c r="O1859" t="str">
        <f>"Telecom s.r.l. Via Marignana 98 31021 Marocco di Mogliano Veneto TV"</f>
        <v>Telecom s.r.l. Via Marignana 98 31021 Marocco di Mogliano Veneto TV</v>
      </c>
      <c r="P1859" t="str">
        <f>"Z9A1A17D4E: [184.00€ ]"</f>
        <v>Z9A1A17D4E: [184.00€ ]</v>
      </c>
      <c r="Q1859" t="str">
        <f>""</f>
        <v/>
      </c>
      <c r="R1859" t="str">
        <f>""</f>
        <v/>
      </c>
      <c r="S1859" t="str">
        <f>""</f>
        <v/>
      </c>
      <c r="T1859" t="str">
        <f>"https://portaletrasparenza.consorziobacchiglione.it/dettagli/attodigara/486/ripristino-funzionamento-interno-telefonico-n-206-presso-sede-consorziale.html"</f>
        <v>https://portaletrasparenza.consorziobacchiglione.it/dettagli/attodigara/486/ripristino-funzionamento-interno-telefonico-n-206-presso-sede-consorziale.html</v>
      </c>
      <c r="U1859" t="str">
        <f>""</f>
        <v/>
      </c>
      <c r="V185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60" spans="1:22" x14ac:dyDescent="0.3">
      <c r="A1860" t="str">
        <f>"Affidamento"</f>
        <v>Affidamento</v>
      </c>
      <c r="B1860" t="str">
        <f>"Manutenzione bombole avviamento motori locale pompe N 4, manutenzione sgrigliatore, riparazione nastro trasportatore, riparazione paratoia ."</f>
        <v>Manutenzione bombole avviamento motori locale pompe N 4, manutenzione sgrigliatore, riparazione nastro trasportatore, riparazione paratoia .</v>
      </c>
      <c r="C1860" t="str">
        <f>"Z531A15A7B"</f>
        <v>Z531A15A7B</v>
      </c>
      <c r="D1860" t="str">
        <f>"04/11/2021"</f>
        <v>04/11/2021</v>
      </c>
      <c r="E1860" t="str">
        <f>""</f>
        <v/>
      </c>
      <c r="F1860" t="str">
        <f>""</f>
        <v/>
      </c>
      <c r="G1860" t="str">
        <f>"4337.00"</f>
        <v>4337.00</v>
      </c>
      <c r="H1860" t="str">
        <f>"Consorzio di bonifica Bacchiglione"</f>
        <v>Consorzio di bonifica Bacchiglione</v>
      </c>
      <c r="I1860" t="str">
        <f>"92223390284"</f>
        <v>92223390284</v>
      </c>
      <c r="J1860" t="str">
        <f>"23-AFFIDAMENTO DIRETTO"</f>
        <v>23-AFFIDAMENTO DIRETTO</v>
      </c>
      <c r="K1860" t="str">
        <f>"30/05/2021"</f>
        <v>30/05/2021</v>
      </c>
      <c r="L1860" t="str">
        <f>"05/07/2021"</f>
        <v>05/07/2021</v>
      </c>
      <c r="M1860" t="str">
        <f>""</f>
        <v/>
      </c>
      <c r="N1860" t="str">
        <f>"Officina Biesse S.n.c. Via Matteotti 24 35020 Arzergrande PD"</f>
        <v>Officina Biesse S.n.c. Via Matteotti 24 35020 Arzergrande PD</v>
      </c>
      <c r="O1860" t="str">
        <f>"Officina Biesse S.n.c. Via Matteotti 24 35020 Arzergrande PD"</f>
        <v>Officina Biesse S.n.c. Via Matteotti 24 35020 Arzergrande PD</v>
      </c>
      <c r="P1860" t="str">
        <f>"Z531A15A7B: [4337.00€ ]"</f>
        <v>Z531A15A7B: [4337.00€ ]</v>
      </c>
      <c r="Q1860" t="str">
        <f>""</f>
        <v/>
      </c>
      <c r="R1860" t="str">
        <f>""</f>
        <v/>
      </c>
      <c r="S1860" t="str">
        <f>""</f>
        <v/>
      </c>
      <c r="T1860" t="str">
        <f>"https://portaletrasparenza.consorziobacchiglione.it/dettagli/attodigara/485/manutenzione-bombole-avviamento-motori-locale-pompe-n-4-manutenzione-sgrigliatore-riparazione-nastro-trasportatore-riparazione-paratoia.html"</f>
        <v>https://portaletrasparenza.consorziobacchiglione.it/dettagli/attodigara/485/manutenzione-bombole-avviamento-motori-locale-pompe-n-4-manutenzione-sgrigliatore-riparazione-nastro-trasportatore-riparazione-paratoia.html</v>
      </c>
      <c r="U1860" t="str">
        <f>""</f>
        <v/>
      </c>
      <c r="V186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61" spans="1:22" x14ac:dyDescent="0.3">
      <c r="A1861" t="str">
        <f>"Affidamento"</f>
        <v>Affidamento</v>
      </c>
      <c r="B1861" t="str">
        <f>"Lavori di rifacimento sede stradale mediante fresatura e asfaltatura tratti in via Altipiano in comune di Codevigo e via J.Tatti in località Corte."</f>
        <v>Lavori di rifacimento sede stradale mediante fresatura e asfaltatura tratti in via Altipiano in comune di Codevigo e via J.Tatti in località Corte.</v>
      </c>
      <c r="C1861" t="str">
        <f>"Z151A148CA"</f>
        <v>Z151A148CA</v>
      </c>
      <c r="D1861" t="str">
        <f>"04/11/2021"</f>
        <v>04/11/2021</v>
      </c>
      <c r="E1861" t="str">
        <f>""</f>
        <v/>
      </c>
      <c r="F1861" t="str">
        <f>""</f>
        <v/>
      </c>
      <c r="G1861" t="str">
        <f>"3480.00"</f>
        <v>3480.00</v>
      </c>
      <c r="H1861" t="str">
        <f>"Consorzio di bonifica Bacchiglione"</f>
        <v>Consorzio di bonifica Bacchiglione</v>
      </c>
      <c r="I1861" t="str">
        <f>"92223390284"</f>
        <v>92223390284</v>
      </c>
      <c r="J1861" t="str">
        <f>"23-AFFIDAMENTO DIRETTO"</f>
        <v>23-AFFIDAMENTO DIRETTO</v>
      </c>
      <c r="K1861" t="str">
        <f>"30/05/2021"</f>
        <v>30/05/2021</v>
      </c>
      <c r="L1861" t="str">
        <f>"10/08/2021"</f>
        <v>10/08/2021</v>
      </c>
      <c r="M1861" t="str">
        <f>""</f>
        <v/>
      </c>
      <c r="N1861" t="str">
        <f>"La Cittadella s.n.c. di Ferrara Andrea E C. Via Vallona 98 35020 Codevigo PD"</f>
        <v>La Cittadella s.n.c. di Ferrara Andrea E C. Via Vallona 98 35020 Codevigo PD</v>
      </c>
      <c r="O1861" t="str">
        <f>"La Cittadella s.n.c. di Ferrara Andrea E C. Via Vallona 98 35020 Codevigo PD"</f>
        <v>La Cittadella s.n.c. di Ferrara Andrea E C. Via Vallona 98 35020 Codevigo PD</v>
      </c>
      <c r="P1861" t="str">
        <f>"Z151A148CA: [3480.00€ ]"</f>
        <v>Z151A148CA: [3480.00€ ]</v>
      </c>
      <c r="Q1861" t="str">
        <f>""</f>
        <v/>
      </c>
      <c r="R1861" t="str">
        <f>""</f>
        <v/>
      </c>
      <c r="S1861" t="str">
        <f>""</f>
        <v/>
      </c>
      <c r="T1861" t="str">
        <f>"https://portaletrasparenza.consorziobacchiglione.it/dettagli/attodigara/483/lavori-di-rifacimento-sede-stradale-mediante-fresatura-e-asfaltatura-tratti-in-via-altipiano-in-comune-di-codevigo-e-via-j-tatti-in-localita-corte.html"</f>
        <v>https://portaletrasparenza.consorziobacchiglione.it/dettagli/attodigara/483/lavori-di-rifacimento-sede-stradale-mediante-fresatura-e-asfaltatura-tratti-in-via-altipiano-in-comune-di-codevigo-e-via-j-tatti-in-localita-corte.html</v>
      </c>
      <c r="U1861" t="str">
        <f>""</f>
        <v/>
      </c>
      <c r="V186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62" spans="1:22" x14ac:dyDescent="0.3">
      <c r="A1862" t="str">
        <f>"Affidamento"</f>
        <v>Affidamento</v>
      </c>
      <c r="B1862" t="str">
        <f>"Servizio di Coordinatore Sicurezza in fase di Esecuzione. - Processo ID 013-14."</f>
        <v>Servizio di Coordinatore Sicurezza in fase di Esecuzione. - Processo ID 013-14.</v>
      </c>
      <c r="C1862" t="str">
        <f>"Z2A1A14A87"</f>
        <v>Z2A1A14A87</v>
      </c>
      <c r="D1862" t="str">
        <f>"04/11/2021"</f>
        <v>04/11/2021</v>
      </c>
      <c r="E1862" t="str">
        <f>""</f>
        <v/>
      </c>
      <c r="F1862" t="str">
        <f>""</f>
        <v/>
      </c>
      <c r="G1862" t="str">
        <f>"2860.00"</f>
        <v>2860.00</v>
      </c>
      <c r="H1862" t="str">
        <f>"Consorzio di bonifica Bacchiglione"</f>
        <v>Consorzio di bonifica Bacchiglione</v>
      </c>
      <c r="I1862" t="str">
        <f>"92223390284"</f>
        <v>92223390284</v>
      </c>
      <c r="J1862" t="str">
        <f>"23-AFFIDAMENTO DIRETTO"</f>
        <v>23-AFFIDAMENTO DIRETTO</v>
      </c>
      <c r="K1862" t="str">
        <f>"30/05/2021"</f>
        <v>30/05/2021</v>
      </c>
      <c r="L1862" t="str">
        <f>"21/03/2021"</f>
        <v>21/03/2021</v>
      </c>
      <c r="M1862" t="str">
        <f>""</f>
        <v/>
      </c>
      <c r="N1862" t="str">
        <f>"IDEVA Ingegneria"</f>
        <v>IDEVA Ingegneria</v>
      </c>
      <c r="O1862" t="str">
        <f>"IDEVA Ingegneria"</f>
        <v>IDEVA Ingegneria</v>
      </c>
      <c r="P1862" t="str">
        <f>"Z2A1A14A87: [2860.00€ ]"</f>
        <v>Z2A1A14A87: [2860.00€ ]</v>
      </c>
      <c r="Q1862" t="str">
        <f>""</f>
        <v/>
      </c>
      <c r="R1862" t="str">
        <f>""</f>
        <v/>
      </c>
      <c r="S1862" t="str">
        <f>""</f>
        <v/>
      </c>
      <c r="T1862" t="str">
        <f>"https://portaletrasparenza.consorziobacchiglione.it/dettagli/attodigara/478/servizio-di-coordinatore-sicurezza-in-fase-di-esecuzione-processo-id-013-14.html"</f>
        <v>https://portaletrasparenza.consorziobacchiglione.it/dettagli/attodigara/478/servizio-di-coordinatore-sicurezza-in-fase-di-esecuzione-processo-id-013-14.html</v>
      </c>
      <c r="U1862" t="str">
        <f>""</f>
        <v/>
      </c>
      <c r="V186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63" spans="1:22" x14ac:dyDescent="0.3">
      <c r="A1863" t="str">
        <f>"Affidamento"</f>
        <v>Affidamento</v>
      </c>
      <c r="B1863" t="str">
        <f>"Riparazione e manutenzione mezzi con targa: PDAF480, PDAH157."</f>
        <v>Riparazione e manutenzione mezzi con targa: PDAF480, PDAH157.</v>
      </c>
      <c r="C1863" t="str">
        <f>"Z111A1370B"</f>
        <v>Z111A1370B</v>
      </c>
      <c r="D1863" t="str">
        <f>"04/11/2021"</f>
        <v>04/11/2021</v>
      </c>
      <c r="E1863" t="str">
        <f>""</f>
        <v/>
      </c>
      <c r="F1863" t="str">
        <f>""</f>
        <v/>
      </c>
      <c r="G1863" t="str">
        <f>"4512.11"</f>
        <v>4512.11</v>
      </c>
      <c r="H1863" t="str">
        <f>"Consorzio di bonifica Bacchiglione"</f>
        <v>Consorzio di bonifica Bacchiglione</v>
      </c>
      <c r="I1863" t="str">
        <f>"92223390284"</f>
        <v>92223390284</v>
      </c>
      <c r="J1863" t="str">
        <f>"23-AFFIDAMENTO DIRETTO"</f>
        <v>23-AFFIDAMENTO DIRETTO</v>
      </c>
      <c r="K1863" t="str">
        <f>"30/05/2021"</f>
        <v>30/05/2021</v>
      </c>
      <c r="L1863" t="str">
        <f>"06/09/2021"</f>
        <v>06/09/2021</v>
      </c>
      <c r="M1863" t="str">
        <f>""</f>
        <v/>
      </c>
      <c r="N1863" t="str">
        <f>"Adriatica Commerciale Macchine s.r.l. Via dell'Artigianato 5 35020 Due Carrare PD"</f>
        <v>Adriatica Commerciale Macchine s.r.l. Via dell'Artigianato 5 35020 Due Carrare PD</v>
      </c>
      <c r="O1863" t="str">
        <f>"Adriatica Commerciale Macchine s.r.l. Via dell'Artigianato 5 35020 Due Carrare PD"</f>
        <v>Adriatica Commerciale Macchine s.r.l. Via dell'Artigianato 5 35020 Due Carrare PD</v>
      </c>
      <c r="P1863" t="str">
        <f>"Z111A1370B: [4512.10€ ]"</f>
        <v>Z111A1370B: [4512.10€ ]</v>
      </c>
      <c r="Q1863" t="str">
        <f>""</f>
        <v/>
      </c>
      <c r="R1863" t="str">
        <f>""</f>
        <v/>
      </c>
      <c r="S1863" t="str">
        <f>""</f>
        <v/>
      </c>
      <c r="T1863" t="str">
        <f>"https://portaletrasparenza.consorziobacchiglione.it/dettagli/attodigara/481/riparazione-e-manutenzione-mezzi-con-targa-pdaf480-pdah157.html"</f>
        <v>https://portaletrasparenza.consorziobacchiglione.it/dettagli/attodigara/481/riparazione-e-manutenzione-mezzi-con-targa-pdaf480-pdah157.html</v>
      </c>
      <c r="U1863" t="str">
        <f>""</f>
        <v/>
      </c>
      <c r="V1863">
        <f>(SUBSTITUTE(Tabella1[[#This Row],[Importo di aggiudicazione]],".",","))-(SUBSTITUTE(  SUBSTITUTE(          SUBSTITUTE(Tabella1[[#This Row],[Dettaglio somme liquidate]],Tabella1[[#This Row],[CIG]]&amp;": [",""),"€ ]",""),".",","))</f>
        <v>9.999999999308784E-3</v>
      </c>
    </row>
    <row r="1864" spans="1:22" x14ac:dyDescent="0.3">
      <c r="A1864" t="str">
        <f>"Affidamento"</f>
        <v>Affidamento</v>
      </c>
      <c r="B1864" t="str">
        <f>"Controllo semestrale impianto rilevazione fumo sala Ex Carbonaia a S. Margherita"</f>
        <v>Controllo semestrale impianto rilevazione fumo sala Ex Carbonaia a S. Margherita</v>
      </c>
      <c r="C1864" t="str">
        <f>"ZBE1A132B0"</f>
        <v>ZBE1A132B0</v>
      </c>
      <c r="D1864" t="str">
        <f>"04/11/2021"</f>
        <v>04/11/2021</v>
      </c>
      <c r="E1864" t="str">
        <f>""</f>
        <v/>
      </c>
      <c r="F1864" t="str">
        <f>""</f>
        <v/>
      </c>
      <c r="G1864" t="str">
        <f>"35.00"</f>
        <v>35.00</v>
      </c>
      <c r="H1864" t="str">
        <f>"Consorzio di bonifica Bacchiglione"</f>
        <v>Consorzio di bonifica Bacchiglione</v>
      </c>
      <c r="I1864" t="str">
        <f>"92223390284"</f>
        <v>92223390284</v>
      </c>
      <c r="J1864" t="str">
        <f>"23-AFFIDAMENTO DIRETTO"</f>
        <v>23-AFFIDAMENTO DIRETTO</v>
      </c>
      <c r="K1864" t="str">
        <f>"30/05/2021"</f>
        <v>30/05/2021</v>
      </c>
      <c r="L1864" t="str">
        <f>"31/12/2021"</f>
        <v>31/12/2021</v>
      </c>
      <c r="M1864" t="str">
        <f>""</f>
        <v/>
      </c>
      <c r="N1864" t="str">
        <f>"Bergamaschi Antincendi Antinfortunistica Padova s.r.l. Via G. Galilei 2-I 35030 Caselle di Selvazzano PD | QuattroP Service Srl Viale della Navigazione Interna 35 35129 Padova"</f>
        <v>Bergamaschi Antincendi Antinfortunistica Padova s.r.l. Via G. Galilei 2-I 35030 Caselle di Selvazzano PD | QuattroP Service Srl Viale della Navigazione Interna 35 35129 Padova</v>
      </c>
      <c r="O1864" t="str">
        <f>"QuattroP Service Srl Viale della Navigazione Interna 35 35129 Padova"</f>
        <v>QuattroP Service Srl Viale della Navigazione Interna 35 35129 Padova</v>
      </c>
      <c r="P1864" t="str">
        <f>"ZBE1A132B0: [0.00€ ]"</f>
        <v>ZBE1A132B0: [0.00€ ]</v>
      </c>
      <c r="Q1864" t="str">
        <f>""</f>
        <v/>
      </c>
      <c r="R1864" t="str">
        <f>""</f>
        <v/>
      </c>
      <c r="S1864" t="str">
        <f>""</f>
        <v/>
      </c>
      <c r="T1864" t="str">
        <f>"https://portaletrasparenza.consorziobacchiglione.it/dettagli/attodigara/479/controllo-semestrale-impianto-rilevazione-fumo-sala-ex-carbonaia-a-s-margherita.html"</f>
        <v>https://portaletrasparenza.consorziobacchiglione.it/dettagli/attodigara/479/controllo-semestrale-impianto-rilevazione-fumo-sala-ex-carbonaia-a-s-margherita.html</v>
      </c>
      <c r="U1864" t="str">
        <f>""</f>
        <v/>
      </c>
      <c r="V1864">
        <f>(SUBSTITUTE(Tabella1[[#This Row],[Importo di aggiudicazione]],".",","))-(SUBSTITUTE(  SUBSTITUTE(          SUBSTITUTE(Tabella1[[#This Row],[Dettaglio somme liquidate]],Tabella1[[#This Row],[CIG]]&amp;": [",""),"€ ]",""),".",","))</f>
        <v>35</v>
      </c>
    </row>
    <row r="1865" spans="1:22" x14ac:dyDescent="0.3">
      <c r="A1865" t="str">
        <f>"Affidamento"</f>
        <v>Affidamento</v>
      </c>
      <c r="B1865" t="str">
        <f>"Controllo trimestrale impianto di pressurizzazione idrica antincendio presso idrovora S. Margherita."</f>
        <v>Controllo trimestrale impianto di pressurizzazione idrica antincendio presso idrovora S. Margherita.</v>
      </c>
      <c r="C1865" t="str">
        <f>"Z8C1A135E1"</f>
        <v>Z8C1A135E1</v>
      </c>
      <c r="D1865" t="str">
        <f>"04/11/2021"</f>
        <v>04/11/2021</v>
      </c>
      <c r="E1865" t="str">
        <f>""</f>
        <v/>
      </c>
      <c r="F1865" t="str">
        <f>""</f>
        <v/>
      </c>
      <c r="G1865" t="str">
        <f>"80.00"</f>
        <v>80.00</v>
      </c>
      <c r="H1865" t="str">
        <f>"Consorzio di bonifica Bacchiglione"</f>
        <v>Consorzio di bonifica Bacchiglione</v>
      </c>
      <c r="I1865" t="str">
        <f>"92223390284"</f>
        <v>92223390284</v>
      </c>
      <c r="J1865" t="str">
        <f>"23-AFFIDAMENTO DIRETTO"</f>
        <v>23-AFFIDAMENTO DIRETTO</v>
      </c>
      <c r="K1865" t="str">
        <f>"30/05/2021"</f>
        <v>30/05/2021</v>
      </c>
      <c r="L1865" t="str">
        <f>"31/12/2021"</f>
        <v>31/12/2021</v>
      </c>
      <c r="M1865" t="str">
        <f>""</f>
        <v/>
      </c>
      <c r="N1865" t="str">
        <f>"Bergamaschi Antincendi Antinfortunistica Padova s.r.l. Via G. Galilei 2-I 35030 Caselle di Selvazzano PD | QuattroP Service Srl Viale della Navigazione Interna 35 35129 Padova"</f>
        <v>Bergamaschi Antincendi Antinfortunistica Padova s.r.l. Via G. Galilei 2-I 35030 Caselle di Selvazzano PD | QuattroP Service Srl Viale della Navigazione Interna 35 35129 Padova</v>
      </c>
      <c r="O1865" t="str">
        <f>"QuattroP Service Srl Viale della Navigazione Interna 35 35129 Padova"</f>
        <v>QuattroP Service Srl Viale della Navigazione Interna 35 35129 Padova</v>
      </c>
      <c r="P1865" t="str">
        <f>"Z8C1A135E1: [0.00€ ]"</f>
        <v>Z8C1A135E1: [0.00€ ]</v>
      </c>
      <c r="Q1865" t="str">
        <f>""</f>
        <v/>
      </c>
      <c r="R1865" t="str">
        <f>""</f>
        <v/>
      </c>
      <c r="S1865" t="str">
        <f>""</f>
        <v/>
      </c>
      <c r="T1865" t="str">
        <f>"https://portaletrasparenza.consorziobacchiglione.it/dettagli/attodigara/480/controllo-trimestrale-impianto-di-pressurizzazione-idrica-antincendio-presso-idrovora-s-margherita.html"</f>
        <v>https://portaletrasparenza.consorziobacchiglione.it/dettagli/attodigara/480/controllo-trimestrale-impianto-di-pressurizzazione-idrica-antincendio-presso-idrovora-s-margherita.html</v>
      </c>
      <c r="U1865" t="str">
        <f>""</f>
        <v/>
      </c>
      <c r="V1865">
        <f>(SUBSTITUTE(Tabella1[[#This Row],[Importo di aggiudicazione]],".",","))-(SUBSTITUTE(  SUBSTITUTE(          SUBSTITUTE(Tabella1[[#This Row],[Dettaglio somme liquidate]],Tabella1[[#This Row],[CIG]]&amp;": [",""),"€ ]",""),".",","))</f>
        <v>80</v>
      </c>
    </row>
    <row r="1866" spans="1:22" x14ac:dyDescent="0.3">
      <c r="A1866" t="str">
        <f>"Affidamento"</f>
        <v>Affidamento</v>
      </c>
      <c r="B1866" t="str">
        <f>"Manutenzione e riparazione mezzi con targa: PDAH521, PDAH662, PDAH661, AGK711, PDAF497, PDAF480."</f>
        <v>Manutenzione e riparazione mezzi con targa: PDAH521, PDAH662, PDAH661, AGK711, PDAF497, PDAF480.</v>
      </c>
      <c r="C1866" t="str">
        <f>"ZA91A15053"</f>
        <v>ZA91A15053</v>
      </c>
      <c r="D1866" t="str">
        <f>"04/11/2021"</f>
        <v>04/11/2021</v>
      </c>
      <c r="E1866" t="str">
        <f>""</f>
        <v/>
      </c>
      <c r="F1866" t="str">
        <f>""</f>
        <v/>
      </c>
      <c r="G1866" t="str">
        <f>"5038.63"</f>
        <v>5038.63</v>
      </c>
      <c r="H1866" t="str">
        <f>"Consorzio di bonifica Bacchiglione"</f>
        <v>Consorzio di bonifica Bacchiglione</v>
      </c>
      <c r="I1866" t="str">
        <f>"92223390284"</f>
        <v>92223390284</v>
      </c>
      <c r="J1866" t="str">
        <f>"23-AFFIDAMENTO DIRETTO"</f>
        <v>23-AFFIDAMENTO DIRETTO</v>
      </c>
      <c r="K1866" t="str">
        <f>"30/05/2021"</f>
        <v>30/05/2021</v>
      </c>
      <c r="L1866" t="str">
        <f>"04/07/2021"</f>
        <v>04/07/2021</v>
      </c>
      <c r="M1866" t="str">
        <f>""</f>
        <v/>
      </c>
      <c r="N1866" t="str">
        <f>"Officina Biesse S.n.c. Via Matteotti 24 35020 Arzergrande PD"</f>
        <v>Officina Biesse S.n.c. Via Matteotti 24 35020 Arzergrande PD</v>
      </c>
      <c r="O1866" t="str">
        <f>"Officina Biesse S.n.c. Via Matteotti 24 35020 Arzergrande PD"</f>
        <v>Officina Biesse S.n.c. Via Matteotti 24 35020 Arzergrande PD</v>
      </c>
      <c r="P1866" t="str">
        <f>"ZA91A15053: [4885.63€ ]"</f>
        <v>ZA91A15053: [4885.63€ ]</v>
      </c>
      <c r="Q1866" t="str">
        <f>""</f>
        <v/>
      </c>
      <c r="R1866" t="str">
        <f>""</f>
        <v/>
      </c>
      <c r="S1866" t="str">
        <f>""</f>
        <v/>
      </c>
      <c r="T1866" t="str">
        <f>"https://portaletrasparenza.consorziobacchiglione.it/dettagli/attodigara/484/manutenzione-e-riparazione-mezzi-con-targa-pdah521-pdah662-pdah661-agk711-pdaf497-pdaf480.html"</f>
        <v>https://portaletrasparenza.consorziobacchiglione.it/dettagli/attodigara/484/manutenzione-e-riparazione-mezzi-con-targa-pdah521-pdah662-pdah661-agk711-pdaf497-pdaf480.html</v>
      </c>
      <c r="U1866" t="str">
        <f>""</f>
        <v/>
      </c>
      <c r="V1866">
        <f>(SUBSTITUTE(Tabella1[[#This Row],[Importo di aggiudicazione]],".",","))-(SUBSTITUTE(  SUBSTITUTE(          SUBSTITUTE(Tabella1[[#This Row],[Dettaglio somme liquidate]],Tabella1[[#This Row],[CIG]]&amp;": [",""),"€ ]",""),".",","))</f>
        <v>153</v>
      </c>
    </row>
    <row r="1867" spans="1:22" x14ac:dyDescent="0.3">
      <c r="A1867" t="str">
        <f>"Affidamento"</f>
        <v>Affidamento</v>
      </c>
      <c r="B1867" t="str">
        <f>"Lavori di trinciatura erba su argini Consorziali"</f>
        <v>Lavori di trinciatura erba su argini Consorziali</v>
      </c>
      <c r="C1867" t="str">
        <f>"ZA71A13C2D"</f>
        <v>ZA71A13C2D</v>
      </c>
      <c r="D1867" t="str">
        <f>"04/11/2021"</f>
        <v>04/11/2021</v>
      </c>
      <c r="E1867" t="str">
        <f>""</f>
        <v/>
      </c>
      <c r="F1867" t="str">
        <f>""</f>
        <v/>
      </c>
      <c r="G1867" t="str">
        <f>"2250.00"</f>
        <v>2250.00</v>
      </c>
      <c r="H1867" t="str">
        <f>"Consorzio di bonifica Bacchiglione"</f>
        <v>Consorzio di bonifica Bacchiglione</v>
      </c>
      <c r="I1867" t="str">
        <f>"92223390284"</f>
        <v>92223390284</v>
      </c>
      <c r="J1867" t="str">
        <f>"23-AFFIDAMENTO DIRETTO"</f>
        <v>23-AFFIDAMENTO DIRETTO</v>
      </c>
      <c r="K1867" t="str">
        <f>"30/05/2021"</f>
        <v>30/05/2021</v>
      </c>
      <c r="L1867" t="str">
        <f>"01/08/2021"</f>
        <v>01/08/2021</v>
      </c>
      <c r="M1867" t="str">
        <f>""</f>
        <v/>
      </c>
      <c r="N1867" t="str">
        <f>"Bellavere Stefano Via P.Mascagni 6A 35020 Albignasego PD"</f>
        <v>Bellavere Stefano Via P.Mascagni 6A 35020 Albignasego PD</v>
      </c>
      <c r="O1867" t="str">
        <f>"Bellavere Stefano Via P.Mascagni 6A 35020 Albignasego PD"</f>
        <v>Bellavere Stefano Via P.Mascagni 6A 35020 Albignasego PD</v>
      </c>
      <c r="P1867" t="str">
        <f>"ZA71A13C2D: [1800.00€ ]"</f>
        <v>ZA71A13C2D: [1800.00€ ]</v>
      </c>
      <c r="Q1867" t="str">
        <f>""</f>
        <v/>
      </c>
      <c r="R1867" t="str">
        <f>""</f>
        <v/>
      </c>
      <c r="S1867" t="str">
        <f>""</f>
        <v/>
      </c>
      <c r="T1867" t="str">
        <f>"https://portaletrasparenza.consorziobacchiglione.it/dettagli/attodigara/482/lavori-di-trinciatura-erba-su-argini-consorziali.html"</f>
        <v>https://portaletrasparenza.consorziobacchiglione.it/dettagli/attodigara/482/lavori-di-trinciatura-erba-su-argini-consorziali.html</v>
      </c>
      <c r="U1867" t="str">
        <f>""</f>
        <v/>
      </c>
      <c r="V1867">
        <f>(SUBSTITUTE(Tabella1[[#This Row],[Importo di aggiudicazione]],".",","))-(SUBSTITUTE(  SUBSTITUTE(          SUBSTITUTE(Tabella1[[#This Row],[Dettaglio somme liquidate]],Tabella1[[#This Row],[CIG]]&amp;": [",""),"€ ]",""),".",","))</f>
        <v>450</v>
      </c>
    </row>
    <row r="1868" spans="1:22" x14ac:dyDescent="0.3">
      <c r="A1868" t="str">
        <f>"Affidamento"</f>
        <v>Affidamento</v>
      </c>
      <c r="B1868" t="str">
        <f>"Servizio assicurativo per la copertura del rischio Responsabilità civile generale RCT/RCO per la durata di 18 mesi (dalle ore 24:00 del 30/06/2021 alle ore 24:00 del 31/12/2022) alla soc. Generali Italia S.p.A.."</f>
        <v>Servizio assicurativo per la copertura del rischio Responsabilità civile generale RCT/RCO per la durata di 18 mesi (dalle ore 24:00 del 30/06/2021 alle ore 24:00 del 31/12/2022) alla soc. Generali Italia S.p.A..</v>
      </c>
      <c r="C1868" t="str">
        <f>"87193023A2"</f>
        <v>87193023A2</v>
      </c>
      <c r="D1868" t="str">
        <f>"07/06/2021"</f>
        <v>07/06/2021</v>
      </c>
      <c r="E1868" t="str">
        <f>""</f>
        <v/>
      </c>
      <c r="F1868" t="str">
        <f>""</f>
        <v/>
      </c>
      <c r="G1868" t="str">
        <f>"57000.00"</f>
        <v>57000.00</v>
      </c>
      <c r="H1868" t="str">
        <f>"Consorzio di bonifica Bacchiglione"</f>
        <v>Consorzio di bonifica Bacchiglione</v>
      </c>
      <c r="I1868" t="str">
        <f>"92223390284"</f>
        <v>92223390284</v>
      </c>
      <c r="J1868" t="str">
        <f>"23-AFFIDAMENTO DIRETTO"</f>
        <v>23-AFFIDAMENTO DIRETTO</v>
      </c>
      <c r="K1868" t="str">
        <f>"30/06/2021"</f>
        <v>30/06/2021</v>
      </c>
      <c r="L1868" t="str">
        <f>"28/07/2021"</f>
        <v>28/07/2021</v>
      </c>
      <c r="M1868" t="str">
        <f>""</f>
        <v/>
      </c>
      <c r="N1868" t="str">
        <f>"Generali Italia S.p.A."</f>
        <v>Generali Italia S.p.A.</v>
      </c>
      <c r="O1868" t="str">
        <f>"Generali Italia S.p.A."</f>
        <v>Generali Italia S.p.A.</v>
      </c>
      <c r="P1868" t="str">
        <f>"87193023A2: [57000.00€ ]"</f>
        <v>87193023A2: [57000.00€ ]</v>
      </c>
      <c r="Q1868" t="str">
        <f>""</f>
        <v/>
      </c>
      <c r="R1868" t="str">
        <f>""</f>
        <v/>
      </c>
      <c r="S1868" t="str">
        <f>""</f>
        <v/>
      </c>
      <c r="T1868" t="s">
        <v>99</v>
      </c>
      <c r="U1868" t="str">
        <f>"https://portaletrasparenza.consorziobacchiglione.it/download/attodigara/6494/63ac45965292d.PDF"</f>
        <v>https://portaletrasparenza.consorziobacchiglione.it/download/attodigara/6494/63ac45965292d.PDF</v>
      </c>
      <c r="V186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69" spans="1:22" x14ac:dyDescent="0.3">
      <c r="A1869" t="str">
        <f>"Affidamento"</f>
        <v>Affidamento</v>
      </c>
      <c r="B1869" t="str">
        <f>"Noleggio trattore John Deere targato ADM325 con braccio lungo 12 mt. Presso Bacino Sesta Presa II Sezione"</f>
        <v>Noleggio trattore John Deere targato ADM325 con braccio lungo 12 mt. Presso Bacino Sesta Presa II Sezione</v>
      </c>
      <c r="C1869" t="str">
        <f>"ZBC32A42AD"</f>
        <v>ZBC32A42AD</v>
      </c>
      <c r="D1869" t="str">
        <f>"02/08/2021"</f>
        <v>02/08/2021</v>
      </c>
      <c r="E1869" t="str">
        <f>""</f>
        <v/>
      </c>
      <c r="F1869" t="str">
        <f>""</f>
        <v/>
      </c>
      <c r="G1869" t="str">
        <f>"3000.00"</f>
        <v>3000.00</v>
      </c>
      <c r="H1869" t="str">
        <f>"Consorzio di bonifica Bacchiglione"</f>
        <v>Consorzio di bonifica Bacchiglione</v>
      </c>
      <c r="I1869" t="str">
        <f>"92223390284"</f>
        <v>92223390284</v>
      </c>
      <c r="J1869" t="str">
        <f>"23-AFFIDAMENTO DIRETTO"</f>
        <v>23-AFFIDAMENTO DIRETTO</v>
      </c>
      <c r="K1869" t="str">
        <f>"30/07/2021"</f>
        <v>30/07/2021</v>
      </c>
      <c r="L1869" t="str">
        <f>"26/08/2021"</f>
        <v>26/08/2021</v>
      </c>
      <c r="M1869" t="str">
        <f>""</f>
        <v/>
      </c>
      <c r="N1869" t="str">
        <f>"Viale Valter Via 1° Maggio 124 30010 Campagna Lupia VE"</f>
        <v>Viale Valter Via 1° Maggio 124 30010 Campagna Lupia VE</v>
      </c>
      <c r="O1869" t="str">
        <f>"Viale Valter Via 1° Maggio 124 30010 Campagna Lupia VE"</f>
        <v>Viale Valter Via 1° Maggio 124 30010 Campagna Lupia VE</v>
      </c>
      <c r="P1869" t="str">
        <f>"ZBC32A42AD: [3000.00€ ]"</f>
        <v>ZBC32A42AD: [3000.00€ ]</v>
      </c>
      <c r="Q1869" t="str">
        <f>""</f>
        <v/>
      </c>
      <c r="R1869" t="str">
        <f>""</f>
        <v/>
      </c>
      <c r="S1869" t="str">
        <f>""</f>
        <v/>
      </c>
      <c r="T1869" t="str">
        <f>"https://portaletrasparenza.consorziobacchiglione.it/dettagli/attodigara/7048/noleggio-trattore-john-deere-targato-adm325-con-braccio-lungo-12-mt-presso-bacino-sesta-presa-ii-sezione.html"</f>
        <v>https://portaletrasparenza.consorziobacchiglione.it/dettagli/attodigara/7048/noleggio-trattore-john-deere-targato-adm325-con-braccio-lungo-12-mt-presso-bacino-sesta-presa-ii-sezione.html</v>
      </c>
      <c r="U1869" t="str">
        <f>"https://portaletrasparenza.consorziobacchiglione.it/download/attodigara/7048/63ac45b0d2da9.PDF"</f>
        <v>https://portaletrasparenza.consorziobacchiglione.it/download/attodigara/7048/63ac45b0d2da9.PDF</v>
      </c>
      <c r="V186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70" spans="1:22" x14ac:dyDescent="0.3">
      <c r="A1870" t="str">
        <f>"Affidamento"</f>
        <v>Affidamento</v>
      </c>
      <c r="B1870" t="str">
        <f>"Fornitura n. 6 pneumatici per mezzo con targa: PDB49361."</f>
        <v>Fornitura n. 6 pneumatici per mezzo con targa: PDB49361.</v>
      </c>
      <c r="C1870" t="str">
        <f>"Z1D1B647EA"</f>
        <v>Z1D1B647EA</v>
      </c>
      <c r="D1870" t="str">
        <f>"04/11/2021"</f>
        <v>04/11/2021</v>
      </c>
      <c r="E1870" t="str">
        <f>""</f>
        <v/>
      </c>
      <c r="F1870" t="str">
        <f>""</f>
        <v/>
      </c>
      <c r="G1870" t="str">
        <f>"643.80"</f>
        <v>643.80</v>
      </c>
      <c r="H1870" t="str">
        <f>"Consorzio di bonifica Bacchiglione"</f>
        <v>Consorzio di bonifica Bacchiglione</v>
      </c>
      <c r="I1870" t="str">
        <f>"92223390284"</f>
        <v>92223390284</v>
      </c>
      <c r="J1870" t="str">
        <f>"23-AFFIDAMENTO DIRETTO"</f>
        <v>23-AFFIDAMENTO DIRETTO</v>
      </c>
      <c r="K1870" t="str">
        <f>"30/09/2021"</f>
        <v>30/09/2021</v>
      </c>
      <c r="L1870" t="str">
        <f>"03/01/2021"</f>
        <v>03/01/2021</v>
      </c>
      <c r="M1870" t="str">
        <f>""</f>
        <v/>
      </c>
      <c r="N1870" t="str">
        <f>"Galesso Roberto Via San Rocco 52B 35028 Piove di Sacco PD"</f>
        <v>Galesso Roberto Via San Rocco 52B 35028 Piove di Sacco PD</v>
      </c>
      <c r="O1870" t="str">
        <f>"Galesso Roberto Via San Rocco 52B 35028 Piove di Sacco PD"</f>
        <v>Galesso Roberto Via San Rocco 52B 35028 Piove di Sacco PD</v>
      </c>
      <c r="P1870" t="str">
        <f>"Z1D1B647EA: [643.80€ ]"</f>
        <v>Z1D1B647EA: [643.80€ ]</v>
      </c>
      <c r="Q1870" t="str">
        <f>""</f>
        <v/>
      </c>
      <c r="R1870" t="str">
        <f>""</f>
        <v/>
      </c>
      <c r="S1870" t="str">
        <f>""</f>
        <v/>
      </c>
      <c r="T1870" t="str">
        <f>"https://portaletrasparenza.consorziobacchiglione.it/dettagli/attodigara/792/fornitura-n-6-pneumatici-per-mezzo-con-targa-pdb49361.html"</f>
        <v>https://portaletrasparenza.consorziobacchiglione.it/dettagli/attodigara/792/fornitura-n-6-pneumatici-per-mezzo-con-targa-pdb49361.html</v>
      </c>
      <c r="U1870" t="str">
        <f>""</f>
        <v/>
      </c>
      <c r="V187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71" spans="1:22" x14ac:dyDescent="0.3">
      <c r="A1871" t="str">
        <f>"Affidamento"</f>
        <v>Affidamento</v>
      </c>
      <c r="B1871" t="str">
        <f>"Inversione ant/post, riparazione copertura, smont/mont gomme su mezzi con targa: EW924ED, DA564ZE, PDAH521, DN881SC, AJR631, AGK711."</f>
        <v>Inversione ant/post, riparazione copertura, smont/mont gomme su mezzi con targa: EW924ED, DA564ZE, PDAH521, DN881SC, AJR631, AGK711.</v>
      </c>
      <c r="C1871" t="str">
        <f>"Z4A1B64360"</f>
        <v>Z4A1B64360</v>
      </c>
      <c r="D1871" t="str">
        <f>"04/11/2021"</f>
        <v>04/11/2021</v>
      </c>
      <c r="E1871" t="str">
        <f>""</f>
        <v/>
      </c>
      <c r="F1871" t="str">
        <f>""</f>
        <v/>
      </c>
      <c r="G1871" t="str">
        <f>"378.88"</f>
        <v>378.88</v>
      </c>
      <c r="H1871" t="str">
        <f>"Consorzio di bonifica Bacchiglione"</f>
        <v>Consorzio di bonifica Bacchiglione</v>
      </c>
      <c r="I1871" t="str">
        <f>"92223390284"</f>
        <v>92223390284</v>
      </c>
      <c r="J1871" t="str">
        <f>"23-AFFIDAMENTO DIRETTO"</f>
        <v>23-AFFIDAMENTO DIRETTO</v>
      </c>
      <c r="K1871" t="str">
        <f>"30/09/2021"</f>
        <v>30/09/2021</v>
      </c>
      <c r="L1871" t="str">
        <f>"03/01/2021"</f>
        <v>03/01/2021</v>
      </c>
      <c r="M1871" t="str">
        <f>""</f>
        <v/>
      </c>
      <c r="N1871" t="str">
        <f>"Galesso Roberto Via San Rocco 52B 35028 Piove di Sacco PD"</f>
        <v>Galesso Roberto Via San Rocco 52B 35028 Piove di Sacco PD</v>
      </c>
      <c r="O1871" t="str">
        <f>"Galesso Roberto Via San Rocco 52B 35028 Piove di Sacco PD"</f>
        <v>Galesso Roberto Via San Rocco 52B 35028 Piove di Sacco PD</v>
      </c>
      <c r="P1871" t="str">
        <f>"Z4A1B64360: [378.88€ ]"</f>
        <v>Z4A1B64360: [378.88€ ]</v>
      </c>
      <c r="Q1871" t="str">
        <f>""</f>
        <v/>
      </c>
      <c r="R1871" t="str">
        <f>""</f>
        <v/>
      </c>
      <c r="S1871" t="str">
        <f>""</f>
        <v/>
      </c>
      <c r="T1871" t="str">
        <f>"https://portaletrasparenza.consorziobacchiglione.it/dettagli/attodigara/791/inversione-ant-post-riparazione-copertura-smont-mont-gomme-su-mezzi-con-targa-ew924ed-da564ze-pdah521-dn881sc-ajr631-agk711.html"</f>
        <v>https://portaletrasparenza.consorziobacchiglione.it/dettagli/attodigara/791/inversione-ant-post-riparazione-copertura-smont-mont-gomme-su-mezzi-con-targa-ew924ed-da564ze-pdah521-dn881sc-ajr631-agk711.html</v>
      </c>
      <c r="U1871" t="str">
        <f>""</f>
        <v/>
      </c>
      <c r="V187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72" spans="1:22" x14ac:dyDescent="0.3">
      <c r="A1872" t="str">
        <f>"Affidamento"</f>
        <v>Affidamento</v>
      </c>
      <c r="B1872" t="str">
        <f>"Noleggio autogrù e mezzo pesante per inserimento pompe riparate Idrovora Voltabarozzo."</f>
        <v>Noleggio autogrù e mezzo pesante per inserimento pompe riparate Idrovora Voltabarozzo.</v>
      </c>
      <c r="C1872" t="str">
        <f>"ZF41B64222"</f>
        <v>ZF41B64222</v>
      </c>
      <c r="D1872" t="str">
        <f>"04/11/2021"</f>
        <v>04/11/2021</v>
      </c>
      <c r="E1872" t="str">
        <f>""</f>
        <v/>
      </c>
      <c r="F1872" t="str">
        <f>""</f>
        <v/>
      </c>
      <c r="G1872" t="str">
        <f>"840.00"</f>
        <v>840.00</v>
      </c>
      <c r="H1872" t="str">
        <f>"Consorzio di bonifica Bacchiglione"</f>
        <v>Consorzio di bonifica Bacchiglione</v>
      </c>
      <c r="I1872" t="str">
        <f>"92223390284"</f>
        <v>92223390284</v>
      </c>
      <c r="J1872" t="str">
        <f>"23-AFFIDAMENTO DIRETTO"</f>
        <v>23-AFFIDAMENTO DIRETTO</v>
      </c>
      <c r="K1872" t="str">
        <f>"30/09/2021"</f>
        <v>30/09/2021</v>
      </c>
      <c r="L1872" t="str">
        <f>"09/11/2021"</f>
        <v>09/11/2021</v>
      </c>
      <c r="M1872" t="str">
        <f>""</f>
        <v/>
      </c>
      <c r="N1872" t="str">
        <f>"Aggio e Figli Autotrasporti s.r.l. Via Chiusure 47 35020 Maserà di Padova PD"</f>
        <v>Aggio e Figli Autotrasporti s.r.l. Via Chiusure 47 35020 Maserà di Padova PD</v>
      </c>
      <c r="O1872" t="str">
        <f>"Aggio e Figli Autotrasporti s.r.l. Via Chiusure 47 35020 Maserà di Padova PD"</f>
        <v>Aggio e Figli Autotrasporti s.r.l. Via Chiusure 47 35020 Maserà di Padova PD</v>
      </c>
      <c r="P1872" t="str">
        <f>"ZF41B64222: [840.00€ ]"</f>
        <v>ZF41B64222: [840.00€ ]</v>
      </c>
      <c r="Q1872" t="str">
        <f>""</f>
        <v/>
      </c>
      <c r="R1872" t="str">
        <f>""</f>
        <v/>
      </c>
      <c r="S1872" t="str">
        <f>""</f>
        <v/>
      </c>
      <c r="T1872" t="str">
        <f>"https://portaletrasparenza.consorziobacchiglione.it/dettagli/attodigara/790/noleggio-autogru-e-mezzo-pesante-per-inserimento-pompe-riparate-idrovora-voltabarozzo.html"</f>
        <v>https://portaletrasparenza.consorziobacchiglione.it/dettagli/attodigara/790/noleggio-autogru-e-mezzo-pesante-per-inserimento-pompe-riparate-idrovora-voltabarozzo.html</v>
      </c>
      <c r="U1872" t="str">
        <f>""</f>
        <v/>
      </c>
      <c r="V187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73" spans="1:22" x14ac:dyDescent="0.3">
      <c r="A1873" t="str">
        <f>"Affidamento"</f>
        <v>Affidamento</v>
      </c>
      <c r="B1873" t="str">
        <f>"Fornitura ulteriore Hard Disk e secondo alimentatore per adeguamento sistema informatico sede Consorziale."</f>
        <v>Fornitura ulteriore Hard Disk e secondo alimentatore per adeguamento sistema informatico sede Consorziale.</v>
      </c>
      <c r="C1873" t="str">
        <f>"Z541B64030"</f>
        <v>Z541B64030</v>
      </c>
      <c r="D1873" t="str">
        <f>"04/11/2021"</f>
        <v>04/11/2021</v>
      </c>
      <c r="E1873" t="str">
        <f>""</f>
        <v/>
      </c>
      <c r="F1873" t="str">
        <f>""</f>
        <v/>
      </c>
      <c r="G1873" t="str">
        <f>"870.00"</f>
        <v>870.00</v>
      </c>
      <c r="H1873" t="str">
        <f>"Consorzio di bonifica Bacchiglione"</f>
        <v>Consorzio di bonifica Bacchiglione</v>
      </c>
      <c r="I1873" t="str">
        <f>"92223390284"</f>
        <v>92223390284</v>
      </c>
      <c r="J1873" t="str">
        <f>"23-AFFIDAMENTO DIRETTO"</f>
        <v>23-AFFIDAMENTO DIRETTO</v>
      </c>
      <c r="K1873" t="str">
        <f>"30/09/2021"</f>
        <v>30/09/2021</v>
      </c>
      <c r="L1873" t="str">
        <f>"27/10/2021"</f>
        <v>27/10/2021</v>
      </c>
      <c r="M1873" t="str">
        <f>""</f>
        <v/>
      </c>
      <c r="N1873" t="str">
        <f>"TPH Elettronica s.a.s. Via N. Pizzolo 51A 35132 Padova"</f>
        <v>TPH Elettronica s.a.s. Via N. Pizzolo 51A 35132 Padova</v>
      </c>
      <c r="O1873" t="str">
        <f>"TPH Elettronica s.a.s. Via N. Pizzolo 51A 35132 Padova"</f>
        <v>TPH Elettronica s.a.s. Via N. Pizzolo 51A 35132 Padova</v>
      </c>
      <c r="P1873" t="str">
        <f>"Z541B64030: [870.00€ ]"</f>
        <v>Z541B64030: [870.00€ ]</v>
      </c>
      <c r="Q1873" t="str">
        <f>""</f>
        <v/>
      </c>
      <c r="R1873" t="str">
        <f>""</f>
        <v/>
      </c>
      <c r="S1873" t="str">
        <f>""</f>
        <v/>
      </c>
      <c r="T1873" t="str">
        <f>"https://portaletrasparenza.consorziobacchiglione.it/dettagli/attodigara/789/fornitura-ulteriore-hard-disk-e-secondo-alimentatore-per-adeguamento-sistema-informatico-sede-consorziale.html"</f>
        <v>https://portaletrasparenza.consorziobacchiglione.it/dettagli/attodigara/789/fornitura-ulteriore-hard-disk-e-secondo-alimentatore-per-adeguamento-sistema-informatico-sede-consorziale.html</v>
      </c>
      <c r="U1873" t="str">
        <f>""</f>
        <v/>
      </c>
      <c r="V187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74" spans="1:22" x14ac:dyDescent="0.3">
      <c r="A1874" t="str">
        <f>"Affidamento"</f>
        <v>Affidamento</v>
      </c>
      <c r="B1874" t="str">
        <f>"Adeguamento sistema informatico Server sede Consorziale."</f>
        <v>Adeguamento sistema informatico Server sede Consorziale.</v>
      </c>
      <c r="C1874" t="str">
        <f>"Z0E1B63EF8"</f>
        <v>Z0E1B63EF8</v>
      </c>
      <c r="D1874" t="str">
        <f>"04/11/2021"</f>
        <v>04/11/2021</v>
      </c>
      <c r="E1874" t="str">
        <f>""</f>
        <v/>
      </c>
      <c r="F1874" t="str">
        <f>""</f>
        <v/>
      </c>
      <c r="G1874" t="str">
        <f>"3980.00"</f>
        <v>3980.00</v>
      </c>
      <c r="H1874" t="str">
        <f>"Consorzio di bonifica Bacchiglione"</f>
        <v>Consorzio di bonifica Bacchiglione</v>
      </c>
      <c r="I1874" t="str">
        <f>"92223390284"</f>
        <v>92223390284</v>
      </c>
      <c r="J1874" t="str">
        <f>"23-AFFIDAMENTO DIRETTO"</f>
        <v>23-AFFIDAMENTO DIRETTO</v>
      </c>
      <c r="K1874" t="str">
        <f>"30/09/2021"</f>
        <v>30/09/2021</v>
      </c>
      <c r="L1874" t="str">
        <f>"15/11/2021"</f>
        <v>15/11/2021</v>
      </c>
      <c r="M1874" t="str">
        <f>""</f>
        <v/>
      </c>
      <c r="N1874" t="str">
        <f>"TPH Elettronica s.a.s. Via N. Pizzolo 51A 35132 Padova"</f>
        <v>TPH Elettronica s.a.s. Via N. Pizzolo 51A 35132 Padova</v>
      </c>
      <c r="O1874" t="str">
        <f>"TPH Elettronica s.a.s. Via N. Pizzolo 51A 35132 Padova"</f>
        <v>TPH Elettronica s.a.s. Via N. Pizzolo 51A 35132 Padova</v>
      </c>
      <c r="P1874" t="str">
        <f>"Z0E1B63EF8: [3980.00€ ]"</f>
        <v>Z0E1B63EF8: [3980.00€ ]</v>
      </c>
      <c r="Q1874" t="str">
        <f>""</f>
        <v/>
      </c>
      <c r="R1874" t="str">
        <f>""</f>
        <v/>
      </c>
      <c r="S1874" t="str">
        <f>""</f>
        <v/>
      </c>
      <c r="T1874" t="str">
        <f>"https://portaletrasparenza.consorziobacchiglione.it/dettagli/attodigara/788/adeguamento-sistema-informatico-server-sede-consorziale.html"</f>
        <v>https://portaletrasparenza.consorziobacchiglione.it/dettagli/attodigara/788/adeguamento-sistema-informatico-server-sede-consorziale.html</v>
      </c>
      <c r="U1874" t="str">
        <f>""</f>
        <v/>
      </c>
      <c r="V187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75" spans="1:22" x14ac:dyDescent="0.3">
      <c r="A1875" t="str">
        <f>"Affidamento"</f>
        <v>Affidamento</v>
      </c>
      <c r="B1875" t="str">
        <f>"Fornitura gruppo di continuità per server, sistema di Backup e apparati di rete sede Consorziale."</f>
        <v>Fornitura gruppo di continuità per server, sistema di Backup e apparati di rete sede Consorziale.</v>
      </c>
      <c r="C1875" t="str">
        <f>"ZED1B63576"</f>
        <v>ZED1B63576</v>
      </c>
      <c r="D1875" t="str">
        <f>"04/11/2021"</f>
        <v>04/11/2021</v>
      </c>
      <c r="E1875" t="str">
        <f>""</f>
        <v/>
      </c>
      <c r="F1875" t="str">
        <f>""</f>
        <v/>
      </c>
      <c r="G1875" t="str">
        <f>"1510.00"</f>
        <v>1510.00</v>
      </c>
      <c r="H1875" t="str">
        <f>"Consorzio di bonifica Bacchiglione"</f>
        <v>Consorzio di bonifica Bacchiglione</v>
      </c>
      <c r="I1875" t="str">
        <f>"92223390284"</f>
        <v>92223390284</v>
      </c>
      <c r="J1875" t="str">
        <f>"23-AFFIDAMENTO DIRETTO"</f>
        <v>23-AFFIDAMENTO DIRETTO</v>
      </c>
      <c r="K1875" t="str">
        <f>"30/09/2021"</f>
        <v>30/09/2021</v>
      </c>
      <c r="L1875" t="str">
        <f>"15/11/2021"</f>
        <v>15/11/2021</v>
      </c>
      <c r="M1875" t="str">
        <f>""</f>
        <v/>
      </c>
      <c r="N1875" t="str">
        <f>"TPH Elettronica s.a.s. Via N. Pizzolo 51A 35132 Padova"</f>
        <v>TPH Elettronica s.a.s. Via N. Pizzolo 51A 35132 Padova</v>
      </c>
      <c r="O1875" t="str">
        <f>"TPH Elettronica s.a.s. Via N. Pizzolo 51A 35132 Padova"</f>
        <v>TPH Elettronica s.a.s. Via N. Pizzolo 51A 35132 Padova</v>
      </c>
      <c r="P1875" t="str">
        <f>"ZED1B63576: [1510.00€ ]"</f>
        <v>ZED1B63576: [1510.00€ ]</v>
      </c>
      <c r="Q1875" t="str">
        <f>""</f>
        <v/>
      </c>
      <c r="R1875" t="str">
        <f>""</f>
        <v/>
      </c>
      <c r="S1875" t="str">
        <f>""</f>
        <v/>
      </c>
      <c r="T1875" t="str">
        <f>"https://portaletrasparenza.consorziobacchiglione.it/dettagli/attodigara/787/fornitura-gruppo-di-continuita-per-server-sistema-di-backup-e-apparati-di-rete-sede-consorziale.html"</f>
        <v>https://portaletrasparenza.consorziobacchiglione.it/dettagli/attodigara/787/fornitura-gruppo-di-continuita-per-server-sistema-di-backup-e-apparati-di-rete-sede-consorziale.html</v>
      </c>
      <c r="U1875" t="str">
        <f>""</f>
        <v/>
      </c>
      <c r="V187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76" spans="1:22" x14ac:dyDescent="0.3">
      <c r="A1876" t="str">
        <f>"Affidamento"</f>
        <v>Affidamento</v>
      </c>
      <c r="B1876" t="str">
        <f>"Fornitura RackStation RS815+/RS815RP + Server Nas per sede Consorziale."</f>
        <v>Fornitura RackStation RS815+/RS815RP + Server Nas per sede Consorziale.</v>
      </c>
      <c r="C1876" t="str">
        <f>"Z051B633B8"</f>
        <v>Z051B633B8</v>
      </c>
      <c r="D1876" t="str">
        <f>"04/11/2021"</f>
        <v>04/11/2021</v>
      </c>
      <c r="E1876" t="str">
        <f>""</f>
        <v/>
      </c>
      <c r="F1876" t="str">
        <f>""</f>
        <v/>
      </c>
      <c r="G1876" t="str">
        <f>"2870.00"</f>
        <v>2870.00</v>
      </c>
      <c r="H1876" t="str">
        <f>"Consorzio di bonifica Bacchiglione"</f>
        <v>Consorzio di bonifica Bacchiglione</v>
      </c>
      <c r="I1876" t="str">
        <f>"92223390284"</f>
        <v>92223390284</v>
      </c>
      <c r="J1876" t="str">
        <f>"23-AFFIDAMENTO DIRETTO"</f>
        <v>23-AFFIDAMENTO DIRETTO</v>
      </c>
      <c r="K1876" t="str">
        <f>"30/09/2021"</f>
        <v>30/09/2021</v>
      </c>
      <c r="L1876" t="str">
        <f>"15/11/2021"</f>
        <v>15/11/2021</v>
      </c>
      <c r="M1876" t="str">
        <f>""</f>
        <v/>
      </c>
      <c r="N1876" t="str">
        <f>"TPH Elettronica s.a.s. Via N. Pizzolo 51A 35132 Padova"</f>
        <v>TPH Elettronica s.a.s. Via N. Pizzolo 51A 35132 Padova</v>
      </c>
      <c r="O1876" t="str">
        <f>"TPH Elettronica s.a.s. Via N. Pizzolo 51A 35132 Padova"</f>
        <v>TPH Elettronica s.a.s. Via N. Pizzolo 51A 35132 Padova</v>
      </c>
      <c r="P1876" t="str">
        <f>"Z051B633B8: [2870.00€ ]"</f>
        <v>Z051B633B8: [2870.00€ ]</v>
      </c>
      <c r="Q1876" t="str">
        <f>""</f>
        <v/>
      </c>
      <c r="R1876" t="str">
        <f>""</f>
        <v/>
      </c>
      <c r="S1876" t="str">
        <f>""</f>
        <v/>
      </c>
      <c r="T1876" t="str">
        <f>"https://portaletrasparenza.consorziobacchiglione.it/dettagli/attodigara/786/fornitura-rackstation-rs815-rs815rp-server-nas-per-sede-consorziale.html"</f>
        <v>https://portaletrasparenza.consorziobacchiglione.it/dettagli/attodigara/786/fornitura-rackstation-rs815-rs815rp-server-nas-per-sede-consorziale.html</v>
      </c>
      <c r="U1876" t="str">
        <f>""</f>
        <v/>
      </c>
      <c r="V187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77" spans="1:22" x14ac:dyDescent="0.3">
      <c r="A1877" t="str">
        <f>"Affidamento"</f>
        <v>Affidamento</v>
      </c>
      <c r="B1877" t="str">
        <f>"Fornitura sistema operativo per server Fujitsu Primergy RX2540 M1 sede Consorziale."</f>
        <v>Fornitura sistema operativo per server Fujitsu Primergy RX2540 M1 sede Consorziale.</v>
      </c>
      <c r="C1877" t="str">
        <f>"ZBA1B63280"</f>
        <v>ZBA1B63280</v>
      </c>
      <c r="D1877" t="str">
        <f>"04/11/2021"</f>
        <v>04/11/2021</v>
      </c>
      <c r="E1877" t="str">
        <f>""</f>
        <v/>
      </c>
      <c r="F1877" t="str">
        <f>""</f>
        <v/>
      </c>
      <c r="G1877" t="str">
        <f>"1180.00"</f>
        <v>1180.00</v>
      </c>
      <c r="H1877" t="str">
        <f>"Consorzio di bonifica Bacchiglione"</f>
        <v>Consorzio di bonifica Bacchiglione</v>
      </c>
      <c r="I1877" t="str">
        <f>"92223390284"</f>
        <v>92223390284</v>
      </c>
      <c r="J1877" t="str">
        <f>"23-AFFIDAMENTO DIRETTO"</f>
        <v>23-AFFIDAMENTO DIRETTO</v>
      </c>
      <c r="K1877" t="str">
        <f>"30/09/2021"</f>
        <v>30/09/2021</v>
      </c>
      <c r="L1877" t="str">
        <f>"15/11/2021"</f>
        <v>15/11/2021</v>
      </c>
      <c r="M1877" t="str">
        <f>""</f>
        <v/>
      </c>
      <c r="N1877" t="str">
        <f>"TPH Elettronica s.a.s. Via N. Pizzolo 51A 35132 Padova"</f>
        <v>TPH Elettronica s.a.s. Via N. Pizzolo 51A 35132 Padova</v>
      </c>
      <c r="O1877" t="str">
        <f>"TPH Elettronica s.a.s. Via N. Pizzolo 51A 35132 Padova"</f>
        <v>TPH Elettronica s.a.s. Via N. Pizzolo 51A 35132 Padova</v>
      </c>
      <c r="P1877" t="str">
        <f>"ZBA1B63280: [1180.00€ ]"</f>
        <v>ZBA1B63280: [1180.00€ ]</v>
      </c>
      <c r="Q1877" t="str">
        <f>""</f>
        <v/>
      </c>
      <c r="R1877" t="str">
        <f>""</f>
        <v/>
      </c>
      <c r="S1877" t="str">
        <f>""</f>
        <v/>
      </c>
      <c r="T1877" t="str">
        <f>"https://portaletrasparenza.consorziobacchiglione.it/dettagli/attodigara/785/fornitura-sistema-operativo-per-server-fujitsu-primergy-rx2540-m1-sede-consorziale.html"</f>
        <v>https://portaletrasparenza.consorziobacchiglione.it/dettagli/attodigara/785/fornitura-sistema-operativo-per-server-fujitsu-primergy-rx2540-m1-sede-consorziale.html</v>
      </c>
      <c r="U1877" t="str">
        <f>""</f>
        <v/>
      </c>
      <c r="V187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78" spans="1:22" x14ac:dyDescent="0.3">
      <c r="A1878" t="str">
        <f>"Affidamento"</f>
        <v>Affidamento</v>
      </c>
      <c r="B1878" t="str">
        <f>"Manutenzione e riparazione mezzo cingolato R.904"</f>
        <v>Manutenzione e riparazione mezzo cingolato R.904</v>
      </c>
      <c r="C1878" t="str">
        <f>"ZA81B651ED"</f>
        <v>ZA81B651ED</v>
      </c>
      <c r="D1878" t="str">
        <f>"04/11/2021"</f>
        <v>04/11/2021</v>
      </c>
      <c r="E1878" t="str">
        <f>""</f>
        <v/>
      </c>
      <c r="F1878" t="str">
        <f>""</f>
        <v/>
      </c>
      <c r="G1878" t="str">
        <f>"861.34"</f>
        <v>861.34</v>
      </c>
      <c r="H1878" t="str">
        <f>"Consorzio di bonifica Bacchiglione"</f>
        <v>Consorzio di bonifica Bacchiglione</v>
      </c>
      <c r="I1878" t="str">
        <f>"92223390284"</f>
        <v>92223390284</v>
      </c>
      <c r="J1878" t="str">
        <f>"23-AFFIDAMENTO DIRETTO"</f>
        <v>23-AFFIDAMENTO DIRETTO</v>
      </c>
      <c r="K1878" t="str">
        <f>"30/09/2021"</f>
        <v>30/09/2021</v>
      </c>
      <c r="L1878" t="str">
        <f>"03/01/2021"</f>
        <v>03/01/2021</v>
      </c>
      <c r="M1878" t="str">
        <f>""</f>
        <v/>
      </c>
      <c r="N1878" t="str">
        <f>"Adriatica Commerciale Macchine s.r.l. Via dell'Artigianato 5 35020 Due Carrare PD"</f>
        <v>Adriatica Commerciale Macchine s.r.l. Via dell'Artigianato 5 35020 Due Carrare PD</v>
      </c>
      <c r="O1878" t="str">
        <f>"Adriatica Commerciale Macchine s.r.l. Via dell'Artigianato 5 35020 Due Carrare PD"</f>
        <v>Adriatica Commerciale Macchine s.r.l. Via dell'Artigianato 5 35020 Due Carrare PD</v>
      </c>
      <c r="P1878" t="str">
        <f>"ZA81B651ED: [861.00€ ]"</f>
        <v>ZA81B651ED: [861.00€ ]</v>
      </c>
      <c r="Q1878" t="str">
        <f>""</f>
        <v/>
      </c>
      <c r="R1878" t="str">
        <f>""</f>
        <v/>
      </c>
      <c r="S1878" t="str">
        <f>""</f>
        <v/>
      </c>
      <c r="T1878" t="str">
        <f>"https://portaletrasparenza.consorziobacchiglione.it/dettagli/attodigara/793/manutenzione-e-riparazione-mezzo-cingolato-r-904.html"</f>
        <v>https://portaletrasparenza.consorziobacchiglione.it/dettagli/attodigara/793/manutenzione-e-riparazione-mezzo-cingolato-r-904.html</v>
      </c>
      <c r="U1878" t="str">
        <f>""</f>
        <v/>
      </c>
      <c r="V1878">
        <f>(SUBSTITUTE(Tabella1[[#This Row],[Importo di aggiudicazione]],".",","))-(SUBSTITUTE(  SUBSTITUTE(          SUBSTITUTE(Tabella1[[#This Row],[Dettaglio somme liquidate]],Tabella1[[#This Row],[CIG]]&amp;": [",""),"€ ]",""),".",","))</f>
        <v>0.34000000000003183</v>
      </c>
    </row>
    <row r="1879" spans="1:22" x14ac:dyDescent="0.3">
      <c r="A1879" t="str">
        <f>"Affidamento"</f>
        <v>Affidamento</v>
      </c>
      <c r="B1879" t="str">
        <f>"Intervento di sistemazione freni carroponte presso Idrovora di Cambroso"</f>
        <v>Intervento di sistemazione freni carroponte presso Idrovora di Cambroso</v>
      </c>
      <c r="C1879" t="str">
        <f>"ZDD3344B93"</f>
        <v>ZDD3344B93</v>
      </c>
      <c r="D1879" t="str">
        <f>"04/10/2021"</f>
        <v>04/10/2021</v>
      </c>
      <c r="E1879" t="str">
        <f>""</f>
        <v/>
      </c>
      <c r="F1879" t="str">
        <f>""</f>
        <v/>
      </c>
      <c r="G1879" t="str">
        <f>"476.00"</f>
        <v>476.00</v>
      </c>
      <c r="H1879" t="str">
        <f>"Consorzio di bonifica Bacchiglione"</f>
        <v>Consorzio di bonifica Bacchiglione</v>
      </c>
      <c r="I1879" t="str">
        <f>"92223390284"</f>
        <v>92223390284</v>
      </c>
      <c r="J1879" t="str">
        <f>"23-AFFIDAMENTO DIRETTO"</f>
        <v>23-AFFIDAMENTO DIRETTO</v>
      </c>
      <c r="K1879" t="str">
        <f>"30/09/2021"</f>
        <v>30/09/2021</v>
      </c>
      <c r="L1879" t="str">
        <f>"31/10/2021"</f>
        <v>31/10/2021</v>
      </c>
      <c r="M1879" t="str">
        <f>""</f>
        <v/>
      </c>
      <c r="N1879" t="str">
        <f>"OMIS SERVICE s.r.l. via Chizzalunga, 8 - 36066 Sandrigo (VI)"</f>
        <v>OMIS SERVICE s.r.l. via Chizzalunga, 8 - 36066 Sandrigo (VI)</v>
      </c>
      <c r="O1879" t="str">
        <f>"OMIS SERVICE s.r.l. via Chizzalunga, 8 - 36066 Sandrigo (VI)"</f>
        <v>OMIS SERVICE s.r.l. via Chizzalunga, 8 - 36066 Sandrigo (VI)</v>
      </c>
      <c r="P1879" t="str">
        <f>"ZDD3344B93: [476.00€ ]"</f>
        <v>ZDD3344B93: [476.00€ ]</v>
      </c>
      <c r="Q1879" t="str">
        <f>""</f>
        <v/>
      </c>
      <c r="R1879" t="str">
        <f>""</f>
        <v/>
      </c>
      <c r="S1879" t="str">
        <f>""</f>
        <v/>
      </c>
      <c r="T1879" t="str">
        <f>"https://portaletrasparenza.consorziobacchiglione.it/dettagli/attodigara/7183/intervento-di-sistemazione-freni-carroponte-presso-idrovora-di-cambroso.html"</f>
        <v>https://portaletrasparenza.consorziobacchiglione.it/dettagli/attodigara/7183/intervento-di-sistemazione-freni-carroponte-presso-idrovora-di-cambroso.html</v>
      </c>
      <c r="U1879" t="str">
        <f>"https://portaletrasparenza.consorziobacchiglione.it/download/attodigara/7183/63ac45d2402b9.PDF"</f>
        <v>https://portaletrasparenza.consorziobacchiglione.it/download/attodigara/7183/63ac45d2402b9.PDF</v>
      </c>
      <c r="V187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80" spans="1:22" x14ac:dyDescent="0.3">
      <c r="A1880" t="str">
        <f>"Affidamento"</f>
        <v>Affidamento</v>
      </c>
      <c r="B1880" t="str">
        <f>"Sostituzione impianto GPS presso motobarca Osma n.5"</f>
        <v>Sostituzione impianto GPS presso motobarca Osma n.5</v>
      </c>
      <c r="C1880" t="str">
        <f>"Z6833433E2"</f>
        <v>Z6833433E2</v>
      </c>
      <c r="D1880" t="str">
        <f>"04/10/2021"</f>
        <v>04/10/2021</v>
      </c>
      <c r="E1880" t="str">
        <f>""</f>
        <v/>
      </c>
      <c r="F1880" t="str">
        <f>""</f>
        <v/>
      </c>
      <c r="G1880" t="str">
        <f>"1250.00"</f>
        <v>1250.00</v>
      </c>
      <c r="H1880" t="str">
        <f>"Consorzio di bonifica Bacchiglione"</f>
        <v>Consorzio di bonifica Bacchiglione</v>
      </c>
      <c r="I1880" t="str">
        <f>"92223390284"</f>
        <v>92223390284</v>
      </c>
      <c r="J1880" t="str">
        <f>"23-AFFIDAMENTO DIRETTO"</f>
        <v>23-AFFIDAMENTO DIRETTO</v>
      </c>
      <c r="K1880" t="str">
        <f>"30/09/2021"</f>
        <v>30/09/2021</v>
      </c>
      <c r="L1880" t="str">
        <f>"06/08/2022"</f>
        <v>06/08/2022</v>
      </c>
      <c r="M1880" t="str">
        <f>""</f>
        <v/>
      </c>
      <c r="N1880" t="str">
        <f>"Vise Elettrocar Via Montagnon 61 35028 Tognana di Piove di Sacco PD"</f>
        <v>Vise Elettrocar Via Montagnon 61 35028 Tognana di Piove di Sacco PD</v>
      </c>
      <c r="O1880" t="str">
        <f>"Vise Elettrocar Via Montagnon 61 35028 Tognana di Piove di Sacco PD"</f>
        <v>Vise Elettrocar Via Montagnon 61 35028 Tognana di Piove di Sacco PD</v>
      </c>
      <c r="P1880" t="str">
        <f>"Z6833433E2: [1250.00€ ]"</f>
        <v>Z6833433E2: [1250.00€ ]</v>
      </c>
      <c r="Q1880" t="str">
        <f>""</f>
        <v/>
      </c>
      <c r="R1880" t="str">
        <f>""</f>
        <v/>
      </c>
      <c r="S1880" t="str">
        <f>""</f>
        <v/>
      </c>
      <c r="T1880" t="str">
        <f>"https://portaletrasparenza.consorziobacchiglione.it/dettagli/attodigara/7182/sostituzione-impianto-gps-presso-motobarca-osma-n-5.html"</f>
        <v>https://portaletrasparenza.consorziobacchiglione.it/dettagli/attodigara/7182/sostituzione-impianto-gps-presso-motobarca-osma-n-5.html</v>
      </c>
      <c r="U1880" t="str">
        <f>"https://portaletrasparenza.consorziobacchiglione.it/download/attodigara/7182/63ac45d207374.PDF"</f>
        <v>https://portaletrasparenza.consorziobacchiglione.it/download/attodigara/7182/63ac45d207374.PDF</v>
      </c>
      <c r="V188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81" spans="1:22" x14ac:dyDescent="0.3">
      <c r="A1881" t="str">
        <f>"Affidamento"</f>
        <v>Affidamento</v>
      </c>
      <c r="B1881" t="str">
        <f>"Servizio di ristorazione per la manifestazione Settimana della bonifica"</f>
        <v>Servizio di ristorazione per la manifestazione Settimana della bonifica</v>
      </c>
      <c r="C1881" t="str">
        <f>"ZD63340122"</f>
        <v>ZD63340122</v>
      </c>
      <c r="D1881" t="str">
        <f>"30/09/2021"</f>
        <v>30/09/2021</v>
      </c>
      <c r="E1881" t="str">
        <f>""</f>
        <v/>
      </c>
      <c r="F1881" t="str">
        <f>""</f>
        <v/>
      </c>
      <c r="G1881" t="str">
        <f>"200.00"</f>
        <v>200.00</v>
      </c>
      <c r="H1881" t="str">
        <f>"Consorzio di bonifica Bacchiglione"</f>
        <v>Consorzio di bonifica Bacchiglione</v>
      </c>
      <c r="I1881" t="str">
        <f>"92223390284"</f>
        <v>92223390284</v>
      </c>
      <c r="J1881" t="str">
        <f>"23-AFFIDAMENTO DIRETTO"</f>
        <v>23-AFFIDAMENTO DIRETTO</v>
      </c>
      <c r="K1881" t="str">
        <f>"30/09/2021"</f>
        <v>30/09/2021</v>
      </c>
      <c r="L1881" t="str">
        <f>"03/10/2021"</f>
        <v>03/10/2021</v>
      </c>
      <c r="M1881" t="str">
        <f>""</f>
        <v/>
      </c>
      <c r="N1881" t="str">
        <f>"CORTE ASSUNTA DI FAVARIN CARLA"</f>
        <v>CORTE ASSUNTA DI FAVARIN CARLA</v>
      </c>
      <c r="O1881" t="str">
        <f>"CORTE ASSUNTA DI FAVARIN CARLA"</f>
        <v>CORTE ASSUNTA DI FAVARIN CARLA</v>
      </c>
      <c r="P1881" t="str">
        <f>"ZD63340122: [174.72€ ]"</f>
        <v>ZD63340122: [174.72€ ]</v>
      </c>
      <c r="Q1881" t="str">
        <f>""</f>
        <v/>
      </c>
      <c r="R1881" t="str">
        <f>""</f>
        <v/>
      </c>
      <c r="S1881" t="str">
        <f>""</f>
        <v/>
      </c>
      <c r="T1881" t="str">
        <f>"https://portaletrasparenza.consorziobacchiglione.it/dettagli/attodigara/7181/servizio-di-ristorazione-per-la-manifestazione-settimana-della-bonifica.html"</f>
        <v>https://portaletrasparenza.consorziobacchiglione.it/dettagli/attodigara/7181/servizio-di-ristorazione-per-la-manifestazione-settimana-della-bonifica.html</v>
      </c>
      <c r="U1881" t="str">
        <f>"https://portaletrasparenza.consorziobacchiglione.it/download/attodigara/7181/63ac45d188360.PDF"</f>
        <v>https://portaletrasparenza.consorziobacchiglione.it/download/attodigara/7181/63ac45d188360.PDF</v>
      </c>
      <c r="V1881">
        <f>(SUBSTITUTE(Tabella1[[#This Row],[Importo di aggiudicazione]],".",","))-(SUBSTITUTE(  SUBSTITUTE(          SUBSTITUTE(Tabella1[[#This Row],[Dettaglio somme liquidate]],Tabella1[[#This Row],[CIG]]&amp;": [",""),"€ ]",""),".",","))</f>
        <v>25.28</v>
      </c>
    </row>
    <row r="1882" spans="1:22" x14ac:dyDescent="0.3">
      <c r="A1882" t="str">
        <f>"Affidamento"</f>
        <v>Affidamento</v>
      </c>
      <c r="B1882" t="str">
        <f>"Riparazione e manutenzione mezzi con targa: CD319EK, DS716AA, EW924ED,DA205YW."</f>
        <v>Riparazione e manutenzione mezzi con targa: CD319EK, DS716AA, EW924ED,DA205YW.</v>
      </c>
      <c r="C1882" t="str">
        <f>"Z9F1C4755A"</f>
        <v>Z9F1C4755A</v>
      </c>
      <c r="D1882" t="str">
        <f>"04/11/2021"</f>
        <v>04/11/2021</v>
      </c>
      <c r="E1882" t="str">
        <f>""</f>
        <v/>
      </c>
      <c r="F1882" t="str">
        <f>""</f>
        <v/>
      </c>
      <c r="G1882" t="str">
        <f>"1520.47"</f>
        <v>1520.47</v>
      </c>
      <c r="H1882" t="str">
        <f>"Consorzio di bonifica Bacchiglione"</f>
        <v>Consorzio di bonifica Bacchiglione</v>
      </c>
      <c r="I1882" t="str">
        <f>"92223390284"</f>
        <v>92223390284</v>
      </c>
      <c r="J1882" t="str">
        <f>"23-AFFIDAMENTO DIRETTO"</f>
        <v>23-AFFIDAMENTO DIRETTO</v>
      </c>
      <c r="K1882" t="str">
        <f>"30/11/2021"</f>
        <v>30/11/2021</v>
      </c>
      <c r="L1882" t="str">
        <f>"16/01/2021"</f>
        <v>16/01/2021</v>
      </c>
      <c r="M1882" t="str">
        <f>""</f>
        <v/>
      </c>
      <c r="N1882" t="str">
        <f>"Mardegan F.lli s.n.c. Via Argine Destro 13A 35020 Brenta di Correzzola PD"</f>
        <v>Mardegan F.lli s.n.c. Via Argine Destro 13A 35020 Brenta di Correzzola PD</v>
      </c>
      <c r="O1882" t="str">
        <f>"Mardegan F.lli s.n.c. Via Argine Destro 13A 35020 Brenta di Correzzola PD"</f>
        <v>Mardegan F.lli s.n.c. Via Argine Destro 13A 35020 Brenta di Correzzola PD</v>
      </c>
      <c r="P1882" t="s">
        <v>362</v>
      </c>
      <c r="Q1882" t="str">
        <f>""</f>
        <v/>
      </c>
      <c r="R1882" t="str">
        <f>""</f>
        <v/>
      </c>
      <c r="S1882" t="str">
        <f>""</f>
        <v/>
      </c>
      <c r="T1882" t="str">
        <f>"https://portaletrasparenza.consorziobacchiglione.it/dettagli/attodigara/962/riparazione-e-manutenzione-mezzi-con-targa-cd319ek-ds716aa-ew924ed-da205yw.html"</f>
        <v>https://portaletrasparenza.consorziobacchiglione.it/dettagli/attodigara/962/riparazione-e-manutenzione-mezzi-con-targa-cd319ek-ds716aa-ew924ed-da205yw.html</v>
      </c>
      <c r="U1882" t="str">
        <f>""</f>
        <v/>
      </c>
      <c r="V188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83" spans="1:22" x14ac:dyDescent="0.3">
      <c r="A1883" t="str">
        <f>"Affidamento"</f>
        <v>Affidamento</v>
      </c>
      <c r="B1883" t="str">
        <f>"Manutenzione e riparazione mezzi con targa: AHH573, AJR631, AJ205BM, CT189YR, PDB49361."</f>
        <v>Manutenzione e riparazione mezzi con targa: AHH573, AJR631, AJ205BM, CT189YR, PDB49361.</v>
      </c>
      <c r="C1883" t="str">
        <f>"ZAF1C478AF"</f>
        <v>ZAF1C478AF</v>
      </c>
      <c r="D1883" t="str">
        <f>"04/11/2021"</f>
        <v>04/11/2021</v>
      </c>
      <c r="E1883" t="str">
        <f>""</f>
        <v/>
      </c>
      <c r="F1883" t="str">
        <f>""</f>
        <v/>
      </c>
      <c r="G1883" t="str">
        <f>"3129.93"</f>
        <v>3129.93</v>
      </c>
      <c r="H1883" t="str">
        <f>"Consorzio di bonifica Bacchiglione"</f>
        <v>Consorzio di bonifica Bacchiglione</v>
      </c>
      <c r="I1883" t="str">
        <f>"92223390284"</f>
        <v>92223390284</v>
      </c>
      <c r="J1883" t="str">
        <f>"23-AFFIDAMENTO DIRETTO"</f>
        <v>23-AFFIDAMENTO DIRETTO</v>
      </c>
      <c r="K1883" t="str">
        <f>"30/11/2021"</f>
        <v>30/11/2021</v>
      </c>
      <c r="L1883" t="str">
        <f>"30/12/2021"</f>
        <v>30/12/2021</v>
      </c>
      <c r="M1883" t="str">
        <f>""</f>
        <v/>
      </c>
      <c r="N1883" t="str">
        <f>"Negrisolo Officina Meccanica s.a.s. V.le delle Industrie II° strada 13 35025 Cagnola di Cartura PD"</f>
        <v>Negrisolo Officina Meccanica s.a.s. V.le delle Industrie II° strada 13 35025 Cagnola di Cartura PD</v>
      </c>
      <c r="O1883" t="str">
        <f>"Negrisolo Officina Meccanica s.a.s. V.le delle Industrie II° strada 13 35025 Cagnola di Cartura PD"</f>
        <v>Negrisolo Officina Meccanica s.a.s. V.le delle Industrie II° strada 13 35025 Cagnola di Cartura PD</v>
      </c>
      <c r="P1883" t="s">
        <v>370</v>
      </c>
      <c r="Q1883" t="str">
        <f>""</f>
        <v/>
      </c>
      <c r="R1883" t="str">
        <f>""</f>
        <v/>
      </c>
      <c r="S1883" t="str">
        <f>""</f>
        <v/>
      </c>
      <c r="T1883" t="str">
        <f>"https://portaletrasparenza.consorziobacchiglione.it/dettagli/attodigara/963/manutenzione-e-riparazione-mezzi-con-targa-ahh573-ajr631-aj205bm-ct189yr-pdb49361.html"</f>
        <v>https://portaletrasparenza.consorziobacchiglione.it/dettagli/attodigara/963/manutenzione-e-riparazione-mezzi-con-targa-ahh573-ajr631-aj205bm-ct189yr-pdb49361.html</v>
      </c>
      <c r="U1883" t="str">
        <f>""</f>
        <v/>
      </c>
      <c r="V188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84" spans="1:22" x14ac:dyDescent="0.3">
      <c r="A1884" t="str">
        <f>"Affidamento"</f>
        <v>Affidamento</v>
      </c>
      <c r="B1884" t="str">
        <f>"Noleggio dumper cingolato Takeuchi TCR50 per lavori presso scolo Menona"</f>
        <v>Noleggio dumper cingolato Takeuchi TCR50 per lavori presso scolo Menona</v>
      </c>
      <c r="C1884" t="str">
        <f>"Z6E342B398"</f>
        <v>Z6E342B398</v>
      </c>
      <c r="D1884" t="str">
        <f>"02/12/2021"</f>
        <v>02/12/2021</v>
      </c>
      <c r="E1884" t="str">
        <f>""</f>
        <v/>
      </c>
      <c r="F1884" t="str">
        <f>""</f>
        <v/>
      </c>
      <c r="G1884" t="str">
        <f>"5300.00"</f>
        <v>5300.00</v>
      </c>
      <c r="H1884" t="str">
        <f>"Consorzio di bonifica Bacchiglione"</f>
        <v>Consorzio di bonifica Bacchiglione</v>
      </c>
      <c r="I1884" t="str">
        <f>"92223390284"</f>
        <v>92223390284</v>
      </c>
      <c r="J1884" t="str">
        <f>"23-AFFIDAMENTO DIRETTO"</f>
        <v>23-AFFIDAMENTO DIRETTO</v>
      </c>
      <c r="K1884" t="str">
        <f>"30/11/2021"</f>
        <v>30/11/2021</v>
      </c>
      <c r="L1884" t="str">
        <f>"13/12/2021"</f>
        <v>13/12/2021</v>
      </c>
      <c r="M1884" t="str">
        <f>""</f>
        <v/>
      </c>
      <c r="N1884" t="str">
        <f>"Sorme s.n.c. Via Monache 21 35030 Selvazzano Dentro PD"</f>
        <v>Sorme s.n.c. Via Monache 21 35030 Selvazzano Dentro PD</v>
      </c>
      <c r="O1884" t="str">
        <f>"Sorme s.n.c. Via Monache 21 35030 Selvazzano Dentro PD"</f>
        <v>Sorme s.n.c. Via Monache 21 35030 Selvazzano Dentro PD</v>
      </c>
      <c r="P1884" t="s">
        <v>185</v>
      </c>
      <c r="Q1884" t="str">
        <f>""</f>
        <v/>
      </c>
      <c r="R1884" t="str">
        <f>""</f>
        <v/>
      </c>
      <c r="S1884" t="str">
        <f>""</f>
        <v/>
      </c>
      <c r="T1884" t="str">
        <f>"https://portaletrasparenza.consorziobacchiglione.it/dettagli/attodigara/7327/noleggio-dumper-cingolato-takeuchi-tcr50-per-lavori-presso-scolo-menona.html"</f>
        <v>https://portaletrasparenza.consorziobacchiglione.it/dettagli/attodigara/7327/noleggio-dumper-cingolato-takeuchi-tcr50-per-lavori-presso-scolo-menona.html</v>
      </c>
      <c r="U1884" t="str">
        <f>"https://portaletrasparenza.consorziobacchiglione.it/download/attodigara/7327/63ac45f395fb1.PDF"</f>
        <v>https://portaletrasparenza.consorziobacchiglione.it/download/attodigara/7327/63ac45f395fb1.PDF</v>
      </c>
      <c r="V188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85" spans="1:22" x14ac:dyDescent="0.3">
      <c r="A1885" t="str">
        <f>"Affidamento"</f>
        <v>Affidamento</v>
      </c>
      <c r="B1885" t="str">
        <f>"Noleggio escavatore cingolato Takeuchi TB2150R 175 q.li presso scolo Menona"</f>
        <v>Noleggio escavatore cingolato Takeuchi TB2150R 175 q.li presso scolo Menona</v>
      </c>
      <c r="C1885" t="str">
        <f>"ZEC342B242"</f>
        <v>ZEC342B242</v>
      </c>
      <c r="D1885" t="str">
        <f>"02/12/2021"</f>
        <v>02/12/2021</v>
      </c>
      <c r="E1885" t="str">
        <f>""</f>
        <v/>
      </c>
      <c r="F1885" t="str">
        <f>""</f>
        <v/>
      </c>
      <c r="G1885" t="str">
        <f>"3900.00"</f>
        <v>3900.00</v>
      </c>
      <c r="H1885" t="str">
        <f>"Consorzio di bonifica Bacchiglione"</f>
        <v>Consorzio di bonifica Bacchiglione</v>
      </c>
      <c r="I1885" t="str">
        <f>"92223390284"</f>
        <v>92223390284</v>
      </c>
      <c r="J1885" t="str">
        <f>"23-AFFIDAMENTO DIRETTO"</f>
        <v>23-AFFIDAMENTO DIRETTO</v>
      </c>
      <c r="K1885" t="str">
        <f>"30/11/2021"</f>
        <v>30/11/2021</v>
      </c>
      <c r="L1885" t="str">
        <f>"13/12/2021"</f>
        <v>13/12/2021</v>
      </c>
      <c r="M1885" t="str">
        <f>""</f>
        <v/>
      </c>
      <c r="N1885" t="str">
        <f>"Sorme s.n.c. Via Monache 21 35030 Selvazzano Dentro PD"</f>
        <v>Sorme s.n.c. Via Monache 21 35030 Selvazzano Dentro PD</v>
      </c>
      <c r="O1885" t="str">
        <f>"Sorme s.n.c. Via Monache 21 35030 Selvazzano Dentro PD"</f>
        <v>Sorme s.n.c. Via Monache 21 35030 Selvazzano Dentro PD</v>
      </c>
      <c r="P1885" t="s">
        <v>196</v>
      </c>
      <c r="Q1885" t="str">
        <f>""</f>
        <v/>
      </c>
      <c r="R1885" t="str">
        <f>""</f>
        <v/>
      </c>
      <c r="S1885" t="str">
        <f>""</f>
        <v/>
      </c>
      <c r="T1885" t="str">
        <f>"https://portaletrasparenza.consorziobacchiglione.it/dettagli/attodigara/7326/noleggio-escavatore-cingolato-takeuchi-tb2150r-175-q-li-presso-scolo-menona.html"</f>
        <v>https://portaletrasparenza.consorziobacchiglione.it/dettagli/attodigara/7326/noleggio-escavatore-cingolato-takeuchi-tb2150r-175-q-li-presso-scolo-menona.html</v>
      </c>
      <c r="U1885" t="str">
        <f>"https://portaletrasparenza.consorziobacchiglione.it/download/attodigara/7326/63ac45f35cc2f.PDF"</f>
        <v>https://portaletrasparenza.consorziobacchiglione.it/download/attodigara/7326/63ac45f35cc2f.PDF</v>
      </c>
      <c r="V188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86" spans="1:22" x14ac:dyDescent="0.3">
      <c r="A1886" t="str">
        <f>"Affidamento"</f>
        <v>Affidamento</v>
      </c>
      <c r="B1886" t="str">
        <f>"Fornitura n.25 premilama doppio e n.5 premilama registrabile per bacino Pratiarcati"</f>
        <v>Fornitura n.25 premilama doppio e n.5 premilama registrabile per bacino Pratiarcati</v>
      </c>
      <c r="C1886" t="str">
        <f>"Z26342AFE0"</f>
        <v>Z26342AFE0</v>
      </c>
      <c r="D1886" t="str">
        <f>"02/12/2021"</f>
        <v>02/12/2021</v>
      </c>
      <c r="E1886" t="str">
        <f>""</f>
        <v/>
      </c>
      <c r="F1886" t="str">
        <f>""</f>
        <v/>
      </c>
      <c r="G1886" t="str">
        <f>"136.50"</f>
        <v>136.50</v>
      </c>
      <c r="H1886" t="str">
        <f>"Consorzio di bonifica Bacchiglione"</f>
        <v>Consorzio di bonifica Bacchiglione</v>
      </c>
      <c r="I1886" t="str">
        <f>"92223390284"</f>
        <v>92223390284</v>
      </c>
      <c r="J1886" t="str">
        <f>"23-AFFIDAMENTO DIRETTO"</f>
        <v>23-AFFIDAMENTO DIRETTO</v>
      </c>
      <c r="K1886" t="str">
        <f>"30/11/2021"</f>
        <v>30/11/2021</v>
      </c>
      <c r="L1886" t="str">
        <f>"13/12/2021"</f>
        <v>13/12/2021</v>
      </c>
      <c r="M1886" t="str">
        <f>""</f>
        <v/>
      </c>
      <c r="N1886" t="str">
        <f>"Eredi di Stivanello Sergio S.a.s. Via Padova 156 35025 Cartura PD"</f>
        <v>Eredi di Stivanello Sergio S.a.s. Via Padova 156 35025 Cartura PD</v>
      </c>
      <c r="O1886" t="str">
        <f>"Eredi di Stivanello Sergio S.a.s. Via Padova 156 35025 Cartura PD"</f>
        <v>Eredi di Stivanello Sergio S.a.s. Via Padova 156 35025 Cartura PD</v>
      </c>
      <c r="P1886" t="s">
        <v>313</v>
      </c>
      <c r="Q1886" t="str">
        <f>""</f>
        <v/>
      </c>
      <c r="R1886" t="str">
        <f>""</f>
        <v/>
      </c>
      <c r="S1886" t="str">
        <f>""</f>
        <v/>
      </c>
      <c r="T1886" t="str">
        <f>"https://portaletrasparenza.consorziobacchiglione.it/dettagli/attodigara/7325/fornitura-n-25-premilama-doppio-e-n-5-premilama-registrabile-per-bacino-pratiarcati.html"</f>
        <v>https://portaletrasparenza.consorziobacchiglione.it/dettagli/attodigara/7325/fornitura-n-25-premilama-doppio-e-n-5-premilama-registrabile-per-bacino-pratiarcati.html</v>
      </c>
      <c r="U1886" t="str">
        <f>"https://portaletrasparenza.consorziobacchiglione.it/download/attodigara/7325/63ac45f3237c6.PDF"</f>
        <v>https://portaletrasparenza.consorziobacchiglione.it/download/attodigara/7325/63ac45f3237c6.PDF</v>
      </c>
      <c r="V188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87" spans="1:22" x14ac:dyDescent="0.3">
      <c r="A1887" t="str">
        <f>"Affidamento"</f>
        <v>Affidamento</v>
      </c>
      <c r="B1887" t="str">
        <f>"Smontaggio attrezzatura da sfalcio e montaggio attrezzatura da scavo - sostituzione perni e boccole attacco bilanciere del mezzo targato: AKA712"</f>
        <v>Smontaggio attrezzatura da sfalcio e montaggio attrezzatura da scavo - sostituzione perni e boccole attacco bilanciere del mezzo targato: AKA712</v>
      </c>
      <c r="C1887" t="str">
        <f>"Z31342D332"</f>
        <v>Z31342D332</v>
      </c>
      <c r="D1887" t="str">
        <f>"02/12/2021"</f>
        <v>02/12/2021</v>
      </c>
      <c r="E1887" t="str">
        <f>""</f>
        <v/>
      </c>
      <c r="F1887" t="str">
        <f>""</f>
        <v/>
      </c>
      <c r="G1887" t="str">
        <f>"3475.12"</f>
        <v>3475.12</v>
      </c>
      <c r="H1887" t="str">
        <f>"Consorzio di bonifica Bacchiglione"</f>
        <v>Consorzio di bonifica Bacchiglione</v>
      </c>
      <c r="I1887" t="str">
        <f>"92223390284"</f>
        <v>92223390284</v>
      </c>
      <c r="J1887" t="str">
        <f>"23-AFFIDAMENTO DIRETTO"</f>
        <v>23-AFFIDAMENTO DIRETTO</v>
      </c>
      <c r="K1887" t="str">
        <f>"30/11/2021"</f>
        <v>30/11/2021</v>
      </c>
      <c r="L1887" t="str">
        <f>"11/01/2022"</f>
        <v>11/01/2022</v>
      </c>
      <c r="M1887" t="str">
        <f>""</f>
        <v/>
      </c>
      <c r="N1887" t="str">
        <f>"Adriatica Commerciale Macchine s.r.l. Via dell'Artigianato 5 35020 Due Carrare PD"</f>
        <v>Adriatica Commerciale Macchine s.r.l. Via dell'Artigianato 5 35020 Due Carrare PD</v>
      </c>
      <c r="O1887" t="str">
        <f>"Adriatica Commerciale Macchine s.r.l. Via dell'Artigianato 5 35020 Due Carrare PD"</f>
        <v>Adriatica Commerciale Macchine s.r.l. Via dell'Artigianato 5 35020 Due Carrare PD</v>
      </c>
      <c r="P1887" t="str">
        <f>"Z31342D332: [3475.12€ ]"</f>
        <v>Z31342D332: [3475.12€ ]</v>
      </c>
      <c r="Q1887" t="str">
        <f>""</f>
        <v/>
      </c>
      <c r="R1887" t="str">
        <f>""</f>
        <v/>
      </c>
      <c r="S1887" t="str">
        <f>""</f>
        <v/>
      </c>
      <c r="T1887" t="str">
        <f>"https://portaletrasparenza.consorziobacchiglione.it/dettagli/attodigara/7328/smontaggio-attrezzatura-da-sfalcio-e-montaggio-attrezzatura-da-scavo-sostituzione-perni-e-boccole-attacco-bilanciere-del-mezzo-targato-aka712.html"</f>
        <v>https://portaletrasparenza.consorziobacchiglione.it/dettagli/attodigara/7328/smontaggio-attrezzatura-da-sfalcio-e-montaggio-attrezzatura-da-scavo-sostituzione-perni-e-boccole-attacco-bilanciere-del-mezzo-targato-aka712.html</v>
      </c>
      <c r="U1887" t="str">
        <f>"https://portaletrasparenza.consorziobacchiglione.it/download/attodigara/7328/63ac45f3cf082.PDF"</f>
        <v>https://portaletrasparenza.consorziobacchiglione.it/download/attodigara/7328/63ac45f3cf082.PDF</v>
      </c>
      <c r="V188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88" spans="1:22" x14ac:dyDescent="0.3">
      <c r="A1888" t="str">
        <f>"Affidamento"</f>
        <v>Affidamento</v>
      </c>
      <c r="B1888" t="str">
        <f>"Servizio di progettazione grafica e stampa di materiale informativo sui lavori relativi alla Botte a sifone in comune di Piove di Sacco"</f>
        <v>Servizio di progettazione grafica e stampa di materiale informativo sui lavori relativi alla Botte a sifone in comune di Piove di Sacco</v>
      </c>
      <c r="C1888" t="str">
        <f>"ZB63429309"</f>
        <v>ZB63429309</v>
      </c>
      <c r="D1888" t="str">
        <f>"30/11/2021"</f>
        <v>30/11/2021</v>
      </c>
      <c r="E1888" t="str">
        <f>""</f>
        <v/>
      </c>
      <c r="F1888" t="str">
        <f>""</f>
        <v/>
      </c>
      <c r="G1888" t="str">
        <f>"3770.00"</f>
        <v>3770.00</v>
      </c>
      <c r="H1888" t="str">
        <f>"Consorzio di bonifica Bacchiglione"</f>
        <v>Consorzio di bonifica Bacchiglione</v>
      </c>
      <c r="I1888" t="str">
        <f>"92223390284"</f>
        <v>92223390284</v>
      </c>
      <c r="J1888" t="str">
        <f>"23-AFFIDAMENTO DIRETTO"</f>
        <v>23-AFFIDAMENTO DIRETTO</v>
      </c>
      <c r="K1888" t="str">
        <f>"30/11/2021"</f>
        <v>30/11/2021</v>
      </c>
      <c r="L1888" t="str">
        <f>"20/12/2021"</f>
        <v>20/12/2021</v>
      </c>
      <c r="M1888" t="str">
        <f>""</f>
        <v/>
      </c>
      <c r="N1888" t="str">
        <f>"CLEUP COOPERATIVA LIBRARIA EDITRICE"</f>
        <v>CLEUP COOPERATIVA LIBRARIA EDITRICE</v>
      </c>
      <c r="O1888" t="str">
        <f>"CLEUP COOPERATIVA LIBRARIA EDITRICE"</f>
        <v>CLEUP COOPERATIVA LIBRARIA EDITRICE</v>
      </c>
      <c r="P1888" t="s">
        <v>197</v>
      </c>
      <c r="Q1888" t="str">
        <f>""</f>
        <v/>
      </c>
      <c r="R1888" t="str">
        <f>""</f>
        <v/>
      </c>
      <c r="S1888" t="str">
        <f>""</f>
        <v/>
      </c>
      <c r="T1888" t="str">
        <f>"https://portaletrasparenza.consorziobacchiglione.it/dettagli/attodigara/7323/servizio-di-progettazione-grafica-e-stampa-di-materiale-informativo-sui-lavori-relativi-alla-botte-a-sifone-in-comune-di-piove-di-sacco.html"</f>
        <v>https://portaletrasparenza.consorziobacchiglione.it/dettagli/attodigara/7323/servizio-di-progettazione-grafica-e-stampa-di-materiale-informativo-sui-lavori-relativi-alla-botte-a-sifone-in-comune-di-piove-di-sacco.html</v>
      </c>
      <c r="U1888" t="str">
        <f>"https://portaletrasparenza.consorziobacchiglione.it/download/attodigara/7323/63ac45f1b3497.PDF,https://portaletrasparenza.consorziobacchiglione.it/download/attodigara/7323/63ac45f1b3755.doc"</f>
        <v>https://portaletrasparenza.consorziobacchiglione.it/download/attodigara/7323/63ac45f1b3497.PDF,https://portaletrasparenza.consorziobacchiglione.it/download/attodigara/7323/63ac45f1b3755.doc</v>
      </c>
      <c r="V188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89" spans="1:22" x14ac:dyDescent="0.3">
      <c r="A1889" t="str">
        <f>"Affidamento"</f>
        <v>Affidamento</v>
      </c>
      <c r="B1889" t="str">
        <f>"Servizio di pulizia e sanificazione della sede consorziale per l anno 2022."</f>
        <v>Servizio di pulizia e sanificazione della sede consorziale per l anno 2022.</v>
      </c>
      <c r="C1889" t="str">
        <f>"Z9933C414A"</f>
        <v>Z9933C414A</v>
      </c>
      <c r="D1889" t="str">
        <f>"30/11/2021"</f>
        <v>30/11/2021</v>
      </c>
      <c r="E1889" t="str">
        <f>""</f>
        <v/>
      </c>
      <c r="F1889" t="str">
        <f>""</f>
        <v/>
      </c>
      <c r="G1889" t="str">
        <f>"22992.00"</f>
        <v>22992.00</v>
      </c>
      <c r="H1889" t="str">
        <f>"Consorzio di bonifica Bacchiglione"</f>
        <v>Consorzio di bonifica Bacchiglione</v>
      </c>
      <c r="I1889" t="str">
        <f>"92223390284"</f>
        <v>92223390284</v>
      </c>
      <c r="J1889" t="str">
        <f>"23-AFFIDAMENTO DIRETTO"</f>
        <v>23-AFFIDAMENTO DIRETTO</v>
      </c>
      <c r="K1889" t="str">
        <f>"30/11/2021"</f>
        <v>30/11/2021</v>
      </c>
      <c r="L1889" t="str">
        <f>"31/12/2022"</f>
        <v>31/12/2022</v>
      </c>
      <c r="M1889" t="str">
        <f>""</f>
        <v/>
      </c>
      <c r="N1889" t="str">
        <f>"LA PULITUTTO DI R. LOVO E C. S.R.L."</f>
        <v>LA PULITUTTO DI R. LOVO E C. S.R.L.</v>
      </c>
      <c r="O1889" t="str">
        <f>"LA PULITUTTO DI R. LOVO E C. S.R.L."</f>
        <v>LA PULITUTTO DI R. LOVO E C. S.R.L.</v>
      </c>
      <c r="P1889" t="str">
        <f>"Z9933C414A: [19160.00€ ]"</f>
        <v>Z9933C414A: [19160.00€ ]</v>
      </c>
      <c r="Q1889" t="str">
        <f>""</f>
        <v/>
      </c>
      <c r="R1889" t="str">
        <f>""</f>
        <v/>
      </c>
      <c r="S1889" t="str">
        <f>""</f>
        <v/>
      </c>
      <c r="T1889" t="str">
        <f>"https://portaletrasparenza.consorziobacchiglione.it/dettagli/attodigara/7324/servizio-di-pulizia-e-sanificazione-della-sede-consorziale-per-l-anno-2022.html"</f>
        <v>https://portaletrasparenza.consorziobacchiglione.it/dettagli/attodigara/7324/servizio-di-pulizia-e-sanificazione-della-sede-consorziale-per-l-anno-2022.html</v>
      </c>
      <c r="U1889" t="str">
        <f>"https://portaletrasparenza.consorziobacchiglione.it/download/attodigara/7324/62a210dc27433.PDF"</f>
        <v>https://portaletrasparenza.consorziobacchiglione.it/download/attodigara/7324/62a210dc27433.PDF</v>
      </c>
      <c r="V1889">
        <f>(SUBSTITUTE(Tabella1[[#This Row],[Importo di aggiudicazione]],".",","))-(SUBSTITUTE(  SUBSTITUTE(          SUBSTITUTE(Tabella1[[#This Row],[Dettaglio somme liquidate]],Tabella1[[#This Row],[CIG]]&amp;": [",""),"€ ]",""),".",","))</f>
        <v>3832</v>
      </c>
    </row>
    <row r="1890" spans="1:22" x14ac:dyDescent="0.3">
      <c r="A1890" t="str">
        <f>"Affidamento"</f>
        <v>Affidamento</v>
      </c>
      <c r="B1890" t="str">
        <f>"Fornitura codici commentati - codice civile, codice di procedura civile, codice penale e di procedura penale"</f>
        <v>Fornitura codici commentati - codice civile, codice di procedura civile, codice penale e di procedura penale</v>
      </c>
      <c r="C1890" t="str">
        <f>"Z0D34A8CE7"</f>
        <v>Z0D34A8CE7</v>
      </c>
      <c r="D1890" t="str">
        <f>"30/12/2021"</f>
        <v>30/12/2021</v>
      </c>
      <c r="E1890" t="str">
        <f>""</f>
        <v/>
      </c>
      <c r="F1890" t="str">
        <f>""</f>
        <v/>
      </c>
      <c r="G1890" t="str">
        <f>"231.00"</f>
        <v>231.00</v>
      </c>
      <c r="H1890" t="str">
        <f>"Consorzio di bonifica Bacchiglione"</f>
        <v>Consorzio di bonifica Bacchiglione</v>
      </c>
      <c r="I1890" t="str">
        <f>"92223390284"</f>
        <v>92223390284</v>
      </c>
      <c r="J1890" t="str">
        <f>"23-AFFIDAMENTO DIRETTO"</f>
        <v>23-AFFIDAMENTO DIRETTO</v>
      </c>
      <c r="K1890" t="str">
        <f>"30/12/2021"</f>
        <v>30/12/2021</v>
      </c>
      <c r="L1890" t="str">
        <f>"31/12/2021"</f>
        <v>31/12/2021</v>
      </c>
      <c r="M1890" t="str">
        <f>""</f>
        <v/>
      </c>
      <c r="N1890" t="str">
        <f>"WOLKERS KLUVER ITALIA S.R.L."</f>
        <v>WOLKERS KLUVER ITALIA S.R.L.</v>
      </c>
      <c r="O1890" t="str">
        <f>"WOLKERS KLUVER ITALIA S.R.L."</f>
        <v>WOLKERS KLUVER ITALIA S.R.L.</v>
      </c>
      <c r="P1890" t="str">
        <f>"Z0D34A8CE7: [231.00€ ]"</f>
        <v>Z0D34A8CE7: [231.00€ ]</v>
      </c>
      <c r="Q1890" t="str">
        <f>""</f>
        <v/>
      </c>
      <c r="R1890" t="str">
        <f>""</f>
        <v/>
      </c>
      <c r="S1890" t="str">
        <f>""</f>
        <v/>
      </c>
      <c r="T1890" t="str">
        <f>"https://portaletrasparenza.consorziobacchiglione.it/dettagli/attodigara/7382/fornitura-codici-commentati-codice-civile-codice-di-procedura-civile-codice-penale-e-di-procedura-penale.html"</f>
        <v>https://portaletrasparenza.consorziobacchiglione.it/dettagli/attodigara/7382/fornitura-codici-commentati-codice-civile-codice-di-procedura-civile-codice-penale-e-di-procedura-penale.html</v>
      </c>
      <c r="U1890" t="str">
        <f>"https://portaletrasparenza.consorziobacchiglione.it/download/attodigara/7382/63ac46018214f.PDF"</f>
        <v>https://portaletrasparenza.consorziobacchiglione.it/download/attodigara/7382/63ac46018214f.PDF</v>
      </c>
      <c r="V189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91" spans="1:22" x14ac:dyDescent="0.3">
      <c r="A1891" t="str">
        <f>"Affidamento"</f>
        <v>Affidamento</v>
      </c>
      <c r="B1891" t="str">
        <f>"Sistemazione serramenti in legno su Idrovora Vaso Cavaizze, S.Margherita,Cambroso."</f>
        <v>Sistemazione serramenti in legno su Idrovora Vaso Cavaizze, S.Margherita,Cambroso.</v>
      </c>
      <c r="C1891" t="str">
        <f>"ZEA1934BAE"</f>
        <v>ZEA1934BAE</v>
      </c>
      <c r="D1891" t="str">
        <f>"04/11/2021"</f>
        <v>04/11/2021</v>
      </c>
      <c r="E1891" t="str">
        <f>""</f>
        <v/>
      </c>
      <c r="F1891" t="str">
        <f>""</f>
        <v/>
      </c>
      <c r="G1891" t="str">
        <f>"1455.00"</f>
        <v>1455.00</v>
      </c>
      <c r="H1891" t="str">
        <f>"Consorzio di bonifica Bacchiglione"</f>
        <v>Consorzio di bonifica Bacchiglione</v>
      </c>
      <c r="I1891" t="str">
        <f>"92223390284"</f>
        <v>92223390284</v>
      </c>
      <c r="J1891" t="str">
        <f>"23-AFFIDAMENTO DIRETTO"</f>
        <v>23-AFFIDAMENTO DIRETTO</v>
      </c>
      <c r="K1891" t="str">
        <f>"31/03/2021"</f>
        <v>31/03/2021</v>
      </c>
      <c r="L1891" t="str">
        <f>"11/05/2021"</f>
        <v>11/05/2021</v>
      </c>
      <c r="M1891" t="str">
        <f>""</f>
        <v/>
      </c>
      <c r="N1891" t="str">
        <f>"Ruzzon Maurizio Via Vittorio Emanuele III 101 35020 Codevigo PD"</f>
        <v>Ruzzon Maurizio Via Vittorio Emanuele III 101 35020 Codevigo PD</v>
      </c>
      <c r="O1891" t="str">
        <f>"Ruzzon Maurizio Via Vittorio Emanuele III 101 35020 Codevigo PD"</f>
        <v>Ruzzon Maurizio Via Vittorio Emanuele III 101 35020 Codevigo PD</v>
      </c>
      <c r="P1891" t="str">
        <f>"ZEA1934BAE: [1455.00€ ]"</f>
        <v>ZEA1934BAE: [1455.00€ ]</v>
      </c>
      <c r="Q1891" t="str">
        <f>""</f>
        <v/>
      </c>
      <c r="R1891" t="str">
        <f>""</f>
        <v/>
      </c>
      <c r="S1891" t="str">
        <f>""</f>
        <v/>
      </c>
      <c r="T1891" t="str">
        <f>"https://portaletrasparenza.consorziobacchiglione.it/dettagli/attodigara/280/sistemazione-serramenti-in-legno-su-idrovora-vaso-cavaizze-s-margherita-cambroso.html"</f>
        <v>https://portaletrasparenza.consorziobacchiglione.it/dettagli/attodigara/280/sistemazione-serramenti-in-legno-su-idrovora-vaso-cavaizze-s-margherita-cambroso.html</v>
      </c>
      <c r="U1891" t="str">
        <f>""</f>
        <v/>
      </c>
      <c r="V189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92" spans="1:22" x14ac:dyDescent="0.3">
      <c r="A1892" t="str">
        <f>"Affidamento"</f>
        <v>Affidamento</v>
      </c>
      <c r="B1892" t="str">
        <f>"Fornitura materiale edile per Idrovora Vaso Cavaizze, canaletta irrigua Roggia Manzere, sostegno Montalbano."</f>
        <v>Fornitura materiale edile per Idrovora Vaso Cavaizze, canaletta irrigua Roggia Manzere, sostegno Montalbano.</v>
      </c>
      <c r="C1892" t="str">
        <f>"ZD9193490F"</f>
        <v>ZD9193490F</v>
      </c>
      <c r="D1892" t="str">
        <f>"04/11/2021"</f>
        <v>04/11/2021</v>
      </c>
      <c r="E1892" t="str">
        <f>""</f>
        <v/>
      </c>
      <c r="F1892" t="str">
        <f>""</f>
        <v/>
      </c>
      <c r="G1892" t="str">
        <f>"847.19"</f>
        <v>847.19</v>
      </c>
      <c r="H1892" t="str">
        <f>"Consorzio di bonifica Bacchiglione"</f>
        <v>Consorzio di bonifica Bacchiglione</v>
      </c>
      <c r="I1892" t="str">
        <f>"92223390284"</f>
        <v>92223390284</v>
      </c>
      <c r="J1892" t="str">
        <f>"23-AFFIDAMENTO DIRETTO"</f>
        <v>23-AFFIDAMENTO DIRETTO</v>
      </c>
      <c r="K1892" t="str">
        <f>"31/03/2021"</f>
        <v>31/03/2021</v>
      </c>
      <c r="L1892" t="str">
        <f>"18/07/2021"</f>
        <v>18/07/2021</v>
      </c>
      <c r="M1892" t="str">
        <f>""</f>
        <v/>
      </c>
      <c r="N1892" t="str">
        <f>"Idronord s.r.l. Via delle Industrie 3C 30036 Santa Maria Di Sala VE"</f>
        <v>Idronord s.r.l. Via delle Industrie 3C 30036 Santa Maria Di Sala VE</v>
      </c>
      <c r="O1892" t="str">
        <f>"Idronord s.r.l. Via delle Industrie 3C 30036 Santa Maria Di Sala VE"</f>
        <v>Idronord s.r.l. Via delle Industrie 3C 30036 Santa Maria Di Sala VE</v>
      </c>
      <c r="P1892" t="str">
        <f>"ZD9193490F: [847.19€ ]"</f>
        <v>ZD9193490F: [847.19€ ]</v>
      </c>
      <c r="Q1892" t="str">
        <f>""</f>
        <v/>
      </c>
      <c r="R1892" t="str">
        <f>""</f>
        <v/>
      </c>
      <c r="S1892" t="str">
        <f>""</f>
        <v/>
      </c>
      <c r="T1892" t="str">
        <f>"https://portaletrasparenza.consorziobacchiglione.it/dettagli/attodigara/279/fornitura-materiale-edile-per-idrovora-vaso-cavaizze-canaletta-irrigua-roggia-manzere-sostegno-montalbano.html"</f>
        <v>https://portaletrasparenza.consorziobacchiglione.it/dettagli/attodigara/279/fornitura-materiale-edile-per-idrovora-vaso-cavaizze-canaletta-irrigua-roggia-manzere-sostegno-montalbano.html</v>
      </c>
      <c r="U1892" t="str">
        <f>""</f>
        <v/>
      </c>
      <c r="V189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93" spans="1:22" x14ac:dyDescent="0.3">
      <c r="A1893" t="str">
        <f>"Affidamento"</f>
        <v>Affidamento</v>
      </c>
      <c r="B1893" t="str">
        <f>"Rinnovo anno 2021 del contratto di licenza Autodesk per le n. 14 licenza Autocad LT"</f>
        <v>Rinnovo anno 2021 del contratto di licenza Autodesk per le n. 14 licenza Autocad LT</v>
      </c>
      <c r="C1893" t="str">
        <f>"ZB23133F49"</f>
        <v>ZB23133F49</v>
      </c>
      <c r="D1893" t="str">
        <f>"02/04/2021"</f>
        <v>02/04/2021</v>
      </c>
      <c r="E1893" t="str">
        <f>""</f>
        <v/>
      </c>
      <c r="F1893" t="str">
        <f>""</f>
        <v/>
      </c>
      <c r="G1893" t="str">
        <f>"5600.00"</f>
        <v>5600.00</v>
      </c>
      <c r="H1893" t="str">
        <f>"Consorzio di bonifica Bacchiglione"</f>
        <v>Consorzio di bonifica Bacchiglione</v>
      </c>
      <c r="I1893" t="str">
        <f>"92223390284"</f>
        <v>92223390284</v>
      </c>
      <c r="J1893" t="str">
        <f>"23-AFFIDAMENTO DIRETTO"</f>
        <v>23-AFFIDAMENTO DIRETTO</v>
      </c>
      <c r="K1893" t="str">
        <f>"31/03/2021"</f>
        <v>31/03/2021</v>
      </c>
      <c r="L1893" t="str">
        <f>"19/04/2021"</f>
        <v>19/04/2021</v>
      </c>
      <c r="M1893" t="str">
        <f>""</f>
        <v/>
      </c>
      <c r="N1893" t="str">
        <f>"Man And Machine Software Srl con socio unico Via Torri Bianche, 1 20871 Vimercate (MB)"</f>
        <v>Man And Machine Software Srl con socio unico Via Torri Bianche, 1 20871 Vimercate (MB)</v>
      </c>
      <c r="O1893" t="str">
        <f>"Man And Machine Software Srl con socio unico Via Torri Bianche, 1 20871 Vimercate (MB)"</f>
        <v>Man And Machine Software Srl con socio unico Via Torri Bianche, 1 20871 Vimercate (MB)</v>
      </c>
      <c r="P1893" t="str">
        <f>"ZB23133F49: [5600.00€ ]"</f>
        <v>ZB23133F49: [5600.00€ ]</v>
      </c>
      <c r="Q1893" t="str">
        <f>""</f>
        <v/>
      </c>
      <c r="R1893" t="str">
        <f>""</f>
        <v/>
      </c>
      <c r="S1893" t="str">
        <f>""</f>
        <v/>
      </c>
      <c r="T1893" t="str">
        <f>"https://portaletrasparenza.consorziobacchiglione.it/dettagli/attodigara/6754/rinnovo-anno-2021-del-contratto-di-licenza-autodesk-per-le-n-14-licenza-autocad-lt.html"</f>
        <v>https://portaletrasparenza.consorziobacchiglione.it/dettagli/attodigara/6754/rinnovo-anno-2021-del-contratto-di-licenza-autodesk-per-le-n-14-licenza-autocad-lt.html</v>
      </c>
      <c r="U1893" t="str">
        <f>"https://portaletrasparenza.consorziobacchiglione.it/download/attodigara/6754/63ac4575a8757.PDF"</f>
        <v>https://portaletrasparenza.consorziobacchiglione.it/download/attodigara/6754/63ac4575a8757.PDF</v>
      </c>
      <c r="V189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94" spans="1:22" x14ac:dyDescent="0.3">
      <c r="A1894" t="str">
        <f>"Affidamento"</f>
        <v>Affidamento</v>
      </c>
      <c r="B1894" t="str">
        <f>"Fornitura ricambi per bracci decespugliatori"</f>
        <v>Fornitura ricambi per bracci decespugliatori</v>
      </c>
      <c r="C1894" t="str">
        <f>"Z8531377CA"</f>
        <v>Z8531377CA</v>
      </c>
      <c r="D1894" t="str">
        <f>"02/04/2021"</f>
        <v>02/04/2021</v>
      </c>
      <c r="E1894" t="str">
        <f>""</f>
        <v/>
      </c>
      <c r="F1894" t="str">
        <f>""</f>
        <v/>
      </c>
      <c r="G1894" t="str">
        <f>"4620.38"</f>
        <v>4620.38</v>
      </c>
      <c r="H1894" t="str">
        <f>"Consorzio di bonifica Bacchiglione"</f>
        <v>Consorzio di bonifica Bacchiglione</v>
      </c>
      <c r="I1894" t="str">
        <f>"92223390284"</f>
        <v>92223390284</v>
      </c>
      <c r="J1894" t="str">
        <f>"23-AFFIDAMENTO DIRETTO"</f>
        <v>23-AFFIDAMENTO DIRETTO</v>
      </c>
      <c r="K1894" t="str">
        <f>"31/03/2021"</f>
        <v>31/03/2021</v>
      </c>
      <c r="L1894" t="str">
        <f>"12/04/2021"</f>
        <v>12/04/2021</v>
      </c>
      <c r="M1894" t="str">
        <f>""</f>
        <v/>
      </c>
      <c r="N1894" t="str">
        <f>"Hymach s.r.l. Viale del Commercio 73 45039 Stienta RO"</f>
        <v>Hymach s.r.l. Viale del Commercio 73 45039 Stienta RO</v>
      </c>
      <c r="O1894" t="str">
        <f>"Hymach s.r.l. Viale del Commercio 73 45039 Stienta RO"</f>
        <v>Hymach s.r.l. Viale del Commercio 73 45039 Stienta RO</v>
      </c>
      <c r="P1894" t="str">
        <f>"Z8531377CA: [4620.38€ ]"</f>
        <v>Z8531377CA: [4620.38€ ]</v>
      </c>
      <c r="Q1894" t="str">
        <f>""</f>
        <v/>
      </c>
      <c r="R1894" t="str">
        <f>""</f>
        <v/>
      </c>
      <c r="S1894" t="str">
        <f>""</f>
        <v/>
      </c>
      <c r="T1894" t="str">
        <f>"https://portaletrasparenza.consorziobacchiglione.it/dettagli/attodigara/6753/fornitura-ricambi-per-bracci-decespugliatori.html"</f>
        <v>https://portaletrasparenza.consorziobacchiglione.it/dettagli/attodigara/6753/fornitura-ricambi-per-bracci-decespugliatori.html</v>
      </c>
      <c r="U1894" t="str">
        <f>"https://portaletrasparenza.consorziobacchiglione.it/download/attodigara/6753/63ac45756ffd4.PDF"</f>
        <v>https://portaletrasparenza.consorziobacchiglione.it/download/attodigara/6753/63ac45756ffd4.PDF</v>
      </c>
      <c r="V189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95" spans="1:22" x14ac:dyDescent="0.3">
      <c r="A1895" t="str">
        <f>"Affidamento"</f>
        <v>Affidamento</v>
      </c>
      <c r="B1895" t="str">
        <f>"Fornitura materiale edile per sostegno Montalbano, sostegno Zip, scolo Condotto, canaletta irrigua Roggia Manzere."</f>
        <v>Fornitura materiale edile per sostegno Montalbano, sostegno Zip, scolo Condotto, canaletta irrigua Roggia Manzere.</v>
      </c>
      <c r="C1895" t="str">
        <f>"ZF61A1B093"</f>
        <v>ZF61A1B093</v>
      </c>
      <c r="D1895" t="str">
        <f>"04/11/2021"</f>
        <v>04/11/2021</v>
      </c>
      <c r="E1895" t="str">
        <f>""</f>
        <v/>
      </c>
      <c r="F1895" t="str">
        <f>""</f>
        <v/>
      </c>
      <c r="G1895" t="str">
        <f>"2128.15"</f>
        <v>2128.15</v>
      </c>
      <c r="H1895" t="str">
        <f>"Consorzio di bonifica Bacchiglione"</f>
        <v>Consorzio di bonifica Bacchiglione</v>
      </c>
      <c r="I1895" t="str">
        <f>"92223390284"</f>
        <v>92223390284</v>
      </c>
      <c r="J1895" t="str">
        <f>"23-AFFIDAMENTO DIRETTO"</f>
        <v>23-AFFIDAMENTO DIRETTO</v>
      </c>
      <c r="K1895" t="str">
        <f>"31/05/2021"</f>
        <v>31/05/2021</v>
      </c>
      <c r="L1895" t="str">
        <f>"18/07/2021"</f>
        <v>18/07/2021</v>
      </c>
      <c r="M1895" t="str">
        <f>""</f>
        <v/>
      </c>
      <c r="N1895" t="str">
        <f>"Idronord s.r.l. Via delle Industrie 3C 30036 Santa Maria Di Sala VE"</f>
        <v>Idronord s.r.l. Via delle Industrie 3C 30036 Santa Maria Di Sala VE</v>
      </c>
      <c r="O1895" t="str">
        <f>"Idronord s.r.l. Via delle Industrie 3C 30036 Santa Maria Di Sala VE"</f>
        <v>Idronord s.r.l. Via delle Industrie 3C 30036 Santa Maria Di Sala VE</v>
      </c>
      <c r="P1895" t="str">
        <f>"ZF61A1B093: [2128.15€ ]"</f>
        <v>ZF61A1B093: [2128.15€ ]</v>
      </c>
      <c r="Q1895" t="str">
        <f>""</f>
        <v/>
      </c>
      <c r="R1895" t="str">
        <f>""</f>
        <v/>
      </c>
      <c r="S1895" t="str">
        <f>""</f>
        <v/>
      </c>
      <c r="T1895" t="str">
        <f>"https://portaletrasparenza.consorziobacchiglione.it/dettagli/attodigara/490/fornitura-materiale-edile-per-sostegno-montalbano-sostegno-zip-scolo-condotto-canaletta-irrigua-roggia-manzere.html"</f>
        <v>https://portaletrasparenza.consorziobacchiglione.it/dettagli/attodigara/490/fornitura-materiale-edile-per-sostegno-montalbano-sostegno-zip-scolo-condotto-canaletta-irrigua-roggia-manzere.html</v>
      </c>
      <c r="U1895" t="str">
        <f>""</f>
        <v/>
      </c>
      <c r="V189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96" spans="1:22" x14ac:dyDescent="0.3">
      <c r="A1896" t="str">
        <f>"Affidamento"</f>
        <v>Affidamento</v>
      </c>
      <c r="B1896" t="str">
        <f>"Fornitura materiale elettrico per bacino Sesta Presa e Pratiarcati."</f>
        <v>Fornitura materiale elettrico per bacino Sesta Presa e Pratiarcati.</v>
      </c>
      <c r="C1896" t="str">
        <f>"ZD91A1A6CC"</f>
        <v>ZD91A1A6CC</v>
      </c>
      <c r="D1896" t="str">
        <f>"04/11/2021"</f>
        <v>04/11/2021</v>
      </c>
      <c r="E1896" t="str">
        <f>""</f>
        <v/>
      </c>
      <c r="F1896" t="str">
        <f>""</f>
        <v/>
      </c>
      <c r="G1896" t="str">
        <f>"584.64"</f>
        <v>584.64</v>
      </c>
      <c r="H1896" t="str">
        <f>"Consorzio di bonifica Bacchiglione"</f>
        <v>Consorzio di bonifica Bacchiglione</v>
      </c>
      <c r="I1896" t="str">
        <f>"92223390284"</f>
        <v>92223390284</v>
      </c>
      <c r="J1896" t="str">
        <f>"23-AFFIDAMENTO DIRETTO"</f>
        <v>23-AFFIDAMENTO DIRETTO</v>
      </c>
      <c r="K1896" t="str">
        <f>"31/05/2021"</f>
        <v>31/05/2021</v>
      </c>
      <c r="L1896" t="str">
        <f>"29/07/2021"</f>
        <v>29/07/2021</v>
      </c>
      <c r="M1896" t="str">
        <f>""</f>
        <v/>
      </c>
      <c r="N1896" t="str">
        <f>"Elettroveneta S.p.A. Viale della Navigazione Interna, 48 - 35129 Padova (PD)"</f>
        <v>Elettroveneta S.p.A. Viale della Navigazione Interna, 48 - 35129 Padova (PD)</v>
      </c>
      <c r="O1896" t="str">
        <f>"Elettroveneta S.p.A. Viale della Navigazione Interna, 48 - 35129 Padova (PD)"</f>
        <v>Elettroveneta S.p.A. Viale della Navigazione Interna, 48 - 35129 Padova (PD)</v>
      </c>
      <c r="P1896" t="str">
        <f>"ZD91A1A6CC: [584.64€ ]"</f>
        <v>ZD91A1A6CC: [584.64€ ]</v>
      </c>
      <c r="Q1896" t="str">
        <f>""</f>
        <v/>
      </c>
      <c r="R1896" t="str">
        <f>""</f>
        <v/>
      </c>
      <c r="S1896" t="str">
        <f>""</f>
        <v/>
      </c>
      <c r="T1896" t="str">
        <f>"https://portaletrasparenza.consorziobacchiglione.it/dettagli/attodigara/489/fornitura-materiale-elettrico-per-bacino-sesta-presa-e-pratiarcati.html"</f>
        <v>https://portaletrasparenza.consorziobacchiglione.it/dettagli/attodigara/489/fornitura-materiale-elettrico-per-bacino-sesta-presa-e-pratiarcati.html</v>
      </c>
      <c r="U1896" t="str">
        <f>""</f>
        <v/>
      </c>
      <c r="V189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97" spans="1:22" x14ac:dyDescent="0.3">
      <c r="A1897" t="str">
        <f>"Affidamento"</f>
        <v>Affidamento</v>
      </c>
      <c r="B1897" t="str">
        <f>"Fornitura materiale elettrico per bacino Sesta Presa."</f>
        <v>Fornitura materiale elettrico per bacino Sesta Presa.</v>
      </c>
      <c r="C1897" t="str">
        <f>"ZF31A1A4FB"</f>
        <v>ZF31A1A4FB</v>
      </c>
      <c r="D1897" t="str">
        <f>"04/11/2021"</f>
        <v>04/11/2021</v>
      </c>
      <c r="E1897" t="str">
        <f>""</f>
        <v/>
      </c>
      <c r="F1897" t="str">
        <f>""</f>
        <v/>
      </c>
      <c r="G1897" t="str">
        <f>"2345.46"</f>
        <v>2345.46</v>
      </c>
      <c r="H1897" t="str">
        <f>"Consorzio di bonifica Bacchiglione"</f>
        <v>Consorzio di bonifica Bacchiglione</v>
      </c>
      <c r="I1897" t="str">
        <f>"92223390284"</f>
        <v>92223390284</v>
      </c>
      <c r="J1897" t="str">
        <f>"23-AFFIDAMENTO DIRETTO"</f>
        <v>23-AFFIDAMENTO DIRETTO</v>
      </c>
      <c r="K1897" t="str">
        <f>"31/05/2021"</f>
        <v>31/05/2021</v>
      </c>
      <c r="L1897" t="str">
        <f>"29/07/2021"</f>
        <v>29/07/2021</v>
      </c>
      <c r="M1897" t="str">
        <f>""</f>
        <v/>
      </c>
      <c r="N1897" t="str">
        <f>"Elettroveneta S.p.A. Viale della Navigazione Interna, 48 - 35129 Padova (PD)"</f>
        <v>Elettroveneta S.p.A. Viale della Navigazione Interna, 48 - 35129 Padova (PD)</v>
      </c>
      <c r="O1897" t="str">
        <f>"Elettroveneta S.p.A. Viale della Navigazione Interna, 48 - 35129 Padova (PD)"</f>
        <v>Elettroveneta S.p.A. Viale della Navigazione Interna, 48 - 35129 Padova (PD)</v>
      </c>
      <c r="P1897" t="str">
        <f>"ZF31A1A4FB: [2345.46€ ]"</f>
        <v>ZF31A1A4FB: [2345.46€ ]</v>
      </c>
      <c r="Q1897" t="str">
        <f>""</f>
        <v/>
      </c>
      <c r="R1897" t="str">
        <f>""</f>
        <v/>
      </c>
      <c r="S1897" t="str">
        <f>""</f>
        <v/>
      </c>
      <c r="T1897" t="str">
        <f>"https://portaletrasparenza.consorziobacchiglione.it/dettagli/attodigara/488/fornitura-materiale-elettrico-per-bacino-sesta-presa.html"</f>
        <v>https://portaletrasparenza.consorziobacchiglione.it/dettagli/attodigara/488/fornitura-materiale-elettrico-per-bacino-sesta-presa.html</v>
      </c>
      <c r="U1897" t="str">
        <f>""</f>
        <v/>
      </c>
      <c r="V189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98" spans="1:22" x14ac:dyDescent="0.3">
      <c r="A1898" t="str">
        <f>"Affidamento"</f>
        <v>Affidamento</v>
      </c>
      <c r="B1898" t="str">
        <f>"Inversione ant/post c/bilanciature su mezzi con targa : DA205YW, DS718AA, FB038DG, PDAF480."</f>
        <v>Inversione ant/post c/bilanciature su mezzi con targa : DA205YW, DS718AA, FB038DG, PDAF480.</v>
      </c>
      <c r="C1898" t="str">
        <f>"ZE41A18968"</f>
        <v>ZE41A18968</v>
      </c>
      <c r="D1898" t="str">
        <f>"04/11/2021"</f>
        <v>04/11/2021</v>
      </c>
      <c r="E1898" t="str">
        <f>""</f>
        <v/>
      </c>
      <c r="F1898" t="str">
        <f>""</f>
        <v/>
      </c>
      <c r="G1898" t="str">
        <f>"160.00"</f>
        <v>160.00</v>
      </c>
      <c r="H1898" t="str">
        <f>"Consorzio di bonifica Bacchiglione"</f>
        <v>Consorzio di bonifica Bacchiglione</v>
      </c>
      <c r="I1898" t="str">
        <f>"92223390284"</f>
        <v>92223390284</v>
      </c>
      <c r="J1898" t="str">
        <f>"23-AFFIDAMENTO DIRETTO"</f>
        <v>23-AFFIDAMENTO DIRETTO</v>
      </c>
      <c r="K1898" t="str">
        <f>"31/05/2021"</f>
        <v>31/05/2021</v>
      </c>
      <c r="L1898" t="str">
        <f>"22/07/2021"</f>
        <v>22/07/2021</v>
      </c>
      <c r="M1898" t="str">
        <f>""</f>
        <v/>
      </c>
      <c r="N1898" t="str">
        <f>"Galesso Roberto Via San Rocco 52B 35028 Piove di Sacco PD"</f>
        <v>Galesso Roberto Via San Rocco 52B 35028 Piove di Sacco PD</v>
      </c>
      <c r="O1898" t="str">
        <f>"Galesso Roberto Via San Rocco 52B 35028 Piove di Sacco PD"</f>
        <v>Galesso Roberto Via San Rocco 52B 35028 Piove di Sacco PD</v>
      </c>
      <c r="P1898" t="str">
        <f>"ZE41A18968: [160.00€ ]"</f>
        <v>ZE41A18968: [160.00€ ]</v>
      </c>
      <c r="Q1898" t="str">
        <f>""</f>
        <v/>
      </c>
      <c r="R1898" t="str">
        <f>""</f>
        <v/>
      </c>
      <c r="S1898" t="str">
        <f>""</f>
        <v/>
      </c>
      <c r="T1898" t="str">
        <f>"https://portaletrasparenza.consorziobacchiglione.it/dettagli/attodigara/487/inversione-ant-post-c-bilanciature-su-mezzi-con-targa-da205yw-ds718aa-fb038dg-pdaf480.html"</f>
        <v>https://portaletrasparenza.consorziobacchiglione.it/dettagli/attodigara/487/inversione-ant-post-c-bilanciature-su-mezzi-con-targa-da205yw-ds718aa-fb038dg-pdaf480.html</v>
      </c>
      <c r="U1898" t="str">
        <f>""</f>
        <v/>
      </c>
      <c r="V189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899" spans="1:22" x14ac:dyDescent="0.3">
      <c r="A1899" t="str">
        <f>"Affidamento"</f>
        <v>Affidamento</v>
      </c>
      <c r="B1899" t="str">
        <f>"Fornitura adattatore VGA più tastiera e mouse wireless per computer sala riunioni sede Consortile"</f>
        <v>Fornitura adattatore VGA più tastiera e mouse wireless per computer sala riunioni sede Consortile</v>
      </c>
      <c r="C1899" t="str">
        <f>"Z0D31EFD0D"</f>
        <v>Z0D31EFD0D</v>
      </c>
      <c r="D1899" t="str">
        <f>"07/06/2021"</f>
        <v>07/06/2021</v>
      </c>
      <c r="E1899" t="str">
        <f>""</f>
        <v/>
      </c>
      <c r="F1899" t="str">
        <f>""</f>
        <v/>
      </c>
      <c r="G1899" t="str">
        <f>"34.60"</f>
        <v>34.60</v>
      </c>
      <c r="H1899" t="str">
        <f>"Consorzio di bonifica Bacchiglione"</f>
        <v>Consorzio di bonifica Bacchiglione</v>
      </c>
      <c r="I1899" t="str">
        <f>"92223390284"</f>
        <v>92223390284</v>
      </c>
      <c r="J1899" t="str">
        <f>"23-AFFIDAMENTO DIRETTO"</f>
        <v>23-AFFIDAMENTO DIRETTO</v>
      </c>
      <c r="K1899" t="str">
        <f>"31/05/2021"</f>
        <v>31/05/2021</v>
      </c>
      <c r="L1899" t="str">
        <f>"12/08/2021"</f>
        <v>12/08/2021</v>
      </c>
      <c r="M1899" t="str">
        <f>""</f>
        <v/>
      </c>
      <c r="N1899" t="str">
        <f>"Hard Service S.r.l. Via del Progresso, 2 35010 Peraga di Vigonza (PD)"</f>
        <v>Hard Service S.r.l. Via del Progresso, 2 35010 Peraga di Vigonza (PD)</v>
      </c>
      <c r="O1899" t="str">
        <f>"Hard Service S.r.l. Via del Progresso, 2 35010 Peraga di Vigonza (PD)"</f>
        <v>Hard Service S.r.l. Via del Progresso, 2 35010 Peraga di Vigonza (PD)</v>
      </c>
      <c r="P1899" t="str">
        <f>"Z0D31EFD0D: [34.60€ ]"</f>
        <v>Z0D31EFD0D: [34.60€ ]</v>
      </c>
      <c r="Q1899" t="str">
        <f>""</f>
        <v/>
      </c>
      <c r="R1899" t="str">
        <f>""</f>
        <v/>
      </c>
      <c r="S1899" t="str">
        <f>""</f>
        <v/>
      </c>
      <c r="T1899" t="str">
        <f>"https://portaletrasparenza.consorziobacchiglione.it/dettagli/attodigara/6915/fornitura-adattatore-vga-piu-tastiera-e-mouse-wireless-per-computer-sala-riunioni-sede-consortile.html"</f>
        <v>https://portaletrasparenza.consorziobacchiglione.it/dettagli/attodigara/6915/fornitura-adattatore-vga-piu-tastiera-e-mouse-wireless-per-computer-sala-riunioni-sede-consortile.html</v>
      </c>
      <c r="U1899" t="str">
        <f>"https://portaletrasparenza.consorziobacchiglione.it/download/attodigara/6915/63ac459404f96.PDF"</f>
        <v>https://portaletrasparenza.consorziobacchiglione.it/download/attodigara/6915/63ac459404f96.PDF</v>
      </c>
      <c r="V1899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00" spans="1:22" x14ac:dyDescent="0.3">
      <c r="A1900" t="str">
        <f>"Affidamento"</f>
        <v>Affidamento</v>
      </c>
      <c r="B1900" t="str">
        <f>"Spostamento escavatore cingolato 904 da scolo Cornio Nuovo a scolo Fiumazzo"</f>
        <v>Spostamento escavatore cingolato 904 da scolo Cornio Nuovo a scolo Fiumazzo</v>
      </c>
      <c r="C1900" t="str">
        <f>"Z2031EF763"</f>
        <v>Z2031EF763</v>
      </c>
      <c r="D1900" t="str">
        <f>"07/06/2021"</f>
        <v>07/06/2021</v>
      </c>
      <c r="E1900" t="str">
        <f>""</f>
        <v/>
      </c>
      <c r="F1900" t="str">
        <f>""</f>
        <v/>
      </c>
      <c r="G1900" t="str">
        <f>"180.00"</f>
        <v>180.00</v>
      </c>
      <c r="H1900" t="str">
        <f>"Consorzio di bonifica Bacchiglione"</f>
        <v>Consorzio di bonifica Bacchiglione</v>
      </c>
      <c r="I1900" t="str">
        <f>"92223390284"</f>
        <v>92223390284</v>
      </c>
      <c r="J1900" t="str">
        <f>"23-AFFIDAMENTO DIRETTO"</f>
        <v>23-AFFIDAMENTO DIRETTO</v>
      </c>
      <c r="K1900" t="str">
        <f>"31/05/2021"</f>
        <v>31/05/2021</v>
      </c>
      <c r="L1900" t="str">
        <f>"30/06/2021"</f>
        <v>30/06/2021</v>
      </c>
      <c r="M1900" t="str">
        <f>""</f>
        <v/>
      </c>
      <c r="N1900" t="str">
        <f>"Trovò s.r.l. Via Idrovora, 3 - 35020 Codevigo (PD)"</f>
        <v>Trovò s.r.l. Via Idrovora, 3 - 35020 Codevigo (PD)</v>
      </c>
      <c r="O1900" t="str">
        <f>"Trovò s.r.l. Via Idrovora, 3 - 35020 Codevigo (PD)"</f>
        <v>Trovò s.r.l. Via Idrovora, 3 - 35020 Codevigo (PD)</v>
      </c>
      <c r="P1900" t="str">
        <f>"Z2031EF763: [180.00€ ]"</f>
        <v>Z2031EF763: [180.00€ ]</v>
      </c>
      <c r="Q1900" t="str">
        <f>""</f>
        <v/>
      </c>
      <c r="R1900" t="str">
        <f>""</f>
        <v/>
      </c>
      <c r="S1900" t="str">
        <f>""</f>
        <v/>
      </c>
      <c r="T1900" t="str">
        <f>"https://portaletrasparenza.consorziobacchiglione.it/dettagli/attodigara/6914/spostamento-escavatore-cingolato-904-da-scolo-cornio-nuovo-a-scolo-fiumazzo.html"</f>
        <v>https://portaletrasparenza.consorziobacchiglione.it/dettagli/attodigara/6914/spostamento-escavatore-cingolato-904-da-scolo-cornio-nuovo-a-scolo-fiumazzo.html</v>
      </c>
      <c r="U1900" t="str">
        <f>"https://portaletrasparenza.consorziobacchiglione.it/download/attodigara/6914/63ac4593c08ae.PDF"</f>
        <v>https://portaletrasparenza.consorziobacchiglione.it/download/attodigara/6914/63ac4593c08ae.PDF</v>
      </c>
      <c r="V190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01" spans="1:22" x14ac:dyDescent="0.3">
      <c r="A1901" t="str">
        <f>"Affidamento"</f>
        <v>Affidamento</v>
      </c>
      <c r="B1901" t="str">
        <f>"Manutenzione e riparazione mezzi con targa: AJ206BM, DA564ZE"</f>
        <v>Manutenzione e riparazione mezzi con targa: AJ206BM, DA564ZE</v>
      </c>
      <c r="C1901" t="str">
        <f>"ZDF31EEC1E"</f>
        <v>ZDF31EEC1E</v>
      </c>
      <c r="D1901" t="str">
        <f>"07/06/2021"</f>
        <v>07/06/2021</v>
      </c>
      <c r="E1901" t="str">
        <f>""</f>
        <v/>
      </c>
      <c r="F1901" t="str">
        <f>""</f>
        <v/>
      </c>
      <c r="G1901" t="str">
        <f>"1776.82"</f>
        <v>1776.82</v>
      </c>
      <c r="H1901" t="str">
        <f>"Consorzio di bonifica Bacchiglione"</f>
        <v>Consorzio di bonifica Bacchiglione</v>
      </c>
      <c r="I1901" t="str">
        <f>"92223390284"</f>
        <v>92223390284</v>
      </c>
      <c r="J1901" t="str">
        <f>"23-AFFIDAMENTO DIRETTO"</f>
        <v>23-AFFIDAMENTO DIRETTO</v>
      </c>
      <c r="K1901" t="str">
        <f>"31/05/2021"</f>
        <v>31/05/2021</v>
      </c>
      <c r="L1901" t="str">
        <f>"30/06/2021"</f>
        <v>30/06/2021</v>
      </c>
      <c r="M1901" t="str">
        <f>""</f>
        <v/>
      </c>
      <c r="N1901" t="str">
        <f>"Officina Autotreni Carraro Franco srl Via Gelsi 79 35028 Piove di Sacco PD"</f>
        <v>Officina Autotreni Carraro Franco srl Via Gelsi 79 35028 Piove di Sacco PD</v>
      </c>
      <c r="O1901" t="str">
        <f>"Officina Autotreni Carraro Franco srl Via Gelsi 79 35028 Piove di Sacco PD"</f>
        <v>Officina Autotreni Carraro Franco srl Via Gelsi 79 35028 Piove di Sacco PD</v>
      </c>
      <c r="P1901" t="str">
        <f>"ZDF31EEC1E: [1776.82€ ]"</f>
        <v>ZDF31EEC1E: [1776.82€ ]</v>
      </c>
      <c r="Q1901" t="str">
        <f>""</f>
        <v/>
      </c>
      <c r="R1901" t="str">
        <f>""</f>
        <v/>
      </c>
      <c r="S1901" t="str">
        <f>""</f>
        <v/>
      </c>
      <c r="T1901" t="str">
        <f>"https://portaletrasparenza.consorziobacchiglione.it/dettagli/attodigara/6912/manutenzione-e-riparazione-mezzi-con-targa-aj206bm-da564ze.html"</f>
        <v>https://portaletrasparenza.consorziobacchiglione.it/dettagli/attodigara/6912/manutenzione-e-riparazione-mezzi-con-targa-aj206bm-da564ze.html</v>
      </c>
      <c r="U1901" t="str">
        <f>"https://portaletrasparenza.consorziobacchiglione.it/download/attodigara/6912/63ac459387c9d.PDF"</f>
        <v>https://portaletrasparenza.consorziobacchiglione.it/download/attodigara/6912/63ac459387c9d.PDF</v>
      </c>
      <c r="V190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02" spans="1:22" x14ac:dyDescent="0.3">
      <c r="A1902" t="str">
        <f>"Affidamento"</f>
        <v>Affidamento</v>
      </c>
      <c r="B1902" t="str">
        <f>"Lavori di ripristino intonaco e tinteggiatura dei prospetti esterni dell'impianto Idrovoro Ponte di Riva, in Comune di Due Carrare (PD)"</f>
        <v>Lavori di ripristino intonaco e tinteggiatura dei prospetti esterni dell'impianto Idrovoro Ponte di Riva, in Comune di Due Carrare (PD)</v>
      </c>
      <c r="C1902" t="str">
        <f>"ZC731EF06F"</f>
        <v>ZC731EF06F</v>
      </c>
      <c r="D1902" t="str">
        <f>"17/06/2021"</f>
        <v>17/06/2021</v>
      </c>
      <c r="E1902" t="str">
        <f>""</f>
        <v/>
      </c>
      <c r="F1902" t="str">
        <f>""</f>
        <v/>
      </c>
      <c r="G1902" t="str">
        <f>"36513.69"</f>
        <v>36513.69</v>
      </c>
      <c r="H1902" t="str">
        <f>"Consorzio di bonifica Bacchiglione"</f>
        <v>Consorzio di bonifica Bacchiglione</v>
      </c>
      <c r="I1902" t="str">
        <f>"92223390284"</f>
        <v>92223390284</v>
      </c>
      <c r="J1902" t="str">
        <f>"23-AFFIDAMENTO DIRETTO"</f>
        <v>23-AFFIDAMENTO DIRETTO</v>
      </c>
      <c r="K1902" t="str">
        <f>"31/05/2021"</f>
        <v>31/05/2021</v>
      </c>
      <c r="L1902" t="str">
        <f>"31/12/2021"</f>
        <v>31/12/2021</v>
      </c>
      <c r="M1902" t="str">
        <f>""</f>
        <v/>
      </c>
      <c r="N1902" t="str">
        <f>"Edil Costruzioni Via Andrea Palladio 16 int. 5 35030 Veggiano PD | Frizzarin Carlo Srl Via S.Mauro 12 - 35036 Montegrotto Terme (PD) | Tecnoedil Srl Via Santuario 39- H - 35031 Abano Terme (PD)"</f>
        <v>Edil Costruzioni Via Andrea Palladio 16 int. 5 35030 Veggiano PD | Frizzarin Carlo Srl Via S.Mauro 12 - 35036 Montegrotto Terme (PD) | Tecnoedil Srl Via Santuario 39- H - 35031 Abano Terme (PD)</v>
      </c>
      <c r="O1902" t="str">
        <f>"Edil Costruzioni Via Andrea Palladio 16 int. 5 35030 Veggiano PD"</f>
        <v>Edil Costruzioni Via Andrea Palladio 16 int. 5 35030 Veggiano PD</v>
      </c>
      <c r="P1902" t="str">
        <f>"ZC731EF06F: [36504.67€ ]"</f>
        <v>ZC731EF06F: [36504.67€ ]</v>
      </c>
      <c r="Q1902" t="str">
        <f>""</f>
        <v/>
      </c>
      <c r="R1902" t="str">
        <f>""</f>
        <v/>
      </c>
      <c r="S1902" t="str">
        <f>""</f>
        <v/>
      </c>
      <c r="T1902" t="str">
        <f>"https://portaletrasparenza.consorziobacchiglione.it/dettagli/attodigara/6913/lavori-di-ripristino-intonaco-e-tinteggiatura-dei-prospetti-esterni-dell-impianto-idrovoro-ponte-di-riva-in-comune-di-due-carrare-pd.html"</f>
        <v>https://portaletrasparenza.consorziobacchiglione.it/dettagli/attodigara/6913/lavori-di-ripristino-intonaco-e-tinteggiatura-dei-prospetti-esterni-dell-impianto-idrovoro-ponte-di-riva-in-comune-di-due-carrare-pd.html</v>
      </c>
      <c r="U1902" t="str">
        <f>"https://portaletrasparenza.consorziobacchiglione.it/download/attodigara/6913/63ac459a9879d.PDF"</f>
        <v>https://portaletrasparenza.consorziobacchiglione.it/download/attodigara/6913/63ac459a9879d.PDF</v>
      </c>
      <c r="V1902">
        <f>(SUBSTITUTE(Tabella1[[#This Row],[Importo di aggiudicazione]],".",","))-(SUBSTITUTE(  SUBSTITUTE(          SUBSTITUTE(Tabella1[[#This Row],[Dettaglio somme liquidate]],Tabella1[[#This Row],[CIG]]&amp;": [",""),"€ ]",""),".",","))</f>
        <v>9.0200000000040745</v>
      </c>
    </row>
    <row r="1903" spans="1:22" x14ac:dyDescent="0.3">
      <c r="A1903" t="str">
        <f>"Affidamento"</f>
        <v>Affidamento</v>
      </c>
      <c r="B1903" t="str">
        <f>"Fornitura giubbotti A.V gialli e blu per il personale di campagna."</f>
        <v>Fornitura giubbotti A.V gialli e blu per il personale di campagna.</v>
      </c>
      <c r="C1903" t="str">
        <f>"ZDB1B06042"</f>
        <v>ZDB1B06042</v>
      </c>
      <c r="D1903" t="str">
        <f>"04/11/2021"</f>
        <v>04/11/2021</v>
      </c>
      <c r="E1903" t="str">
        <f>""</f>
        <v/>
      </c>
      <c r="F1903" t="str">
        <f>""</f>
        <v/>
      </c>
      <c r="G1903" t="str">
        <f>"3672.00"</f>
        <v>3672.00</v>
      </c>
      <c r="H1903" t="str">
        <f>"Consorzio di bonifica Bacchiglione"</f>
        <v>Consorzio di bonifica Bacchiglione</v>
      </c>
      <c r="I1903" t="str">
        <f>"92223390284"</f>
        <v>92223390284</v>
      </c>
      <c r="J1903" t="str">
        <f>"23-AFFIDAMENTO DIRETTO"</f>
        <v>23-AFFIDAMENTO DIRETTO</v>
      </c>
      <c r="K1903" t="str">
        <f>"31/08/2021"</f>
        <v>31/08/2021</v>
      </c>
      <c r="L1903" t="str">
        <f>"09/11/2021"</f>
        <v>09/11/2021</v>
      </c>
      <c r="M1903" t="str">
        <f>""</f>
        <v/>
      </c>
      <c r="N1903" t="str">
        <f>"SIR Safety System S.p.A. Zona Industriale S. Maria degli Angeli 06088 Assisi PG"</f>
        <v>SIR Safety System S.p.A. Zona Industriale S. Maria degli Angeli 06088 Assisi PG</v>
      </c>
      <c r="O1903" t="str">
        <f>"SIR Safety System S.p.A. Zona Industriale S. Maria degli Angeli 06088 Assisi PG"</f>
        <v>SIR Safety System S.p.A. Zona Industriale S. Maria degli Angeli 06088 Assisi PG</v>
      </c>
      <c r="P1903" t="str">
        <f>"ZDB1B06042: [3672.00€ ]"</f>
        <v>ZDB1B06042: [3672.00€ ]</v>
      </c>
      <c r="Q1903" t="str">
        <f>""</f>
        <v/>
      </c>
      <c r="R1903" t="str">
        <f>""</f>
        <v/>
      </c>
      <c r="S1903" t="str">
        <f>""</f>
        <v/>
      </c>
      <c r="T1903" t="str">
        <f>"https://portaletrasparenza.consorziobacchiglione.it/dettagli/attodigara/708/fornitura-giubbotti-a-v-gialli-e-blu-per-il-personale-di-campagna.html"</f>
        <v>https://portaletrasparenza.consorziobacchiglione.it/dettagli/attodigara/708/fornitura-giubbotti-a-v-gialli-e-blu-per-il-personale-di-campagna.html</v>
      </c>
      <c r="U1903" t="str">
        <f>""</f>
        <v/>
      </c>
      <c r="V1903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04" spans="1:22" x14ac:dyDescent="0.3">
      <c r="A1904" t="str">
        <f>"Affidamento"</f>
        <v>Affidamento</v>
      </c>
      <c r="B1904" t="str">
        <f>"Riparazione e manutenzione mezzi con targa: DA205YW, FB038DG."</f>
        <v>Riparazione e manutenzione mezzi con targa: DA205YW, FB038DG.</v>
      </c>
      <c r="C1904" t="str">
        <f>"Z6F1B05CA4"</f>
        <v>Z6F1B05CA4</v>
      </c>
      <c r="D1904" t="str">
        <f>"04/11/2021"</f>
        <v>04/11/2021</v>
      </c>
      <c r="E1904" t="str">
        <f>""</f>
        <v/>
      </c>
      <c r="F1904" t="str">
        <f>""</f>
        <v/>
      </c>
      <c r="G1904" t="str">
        <f>"572.31"</f>
        <v>572.31</v>
      </c>
      <c r="H1904" t="str">
        <f>"Consorzio di bonifica Bacchiglione"</f>
        <v>Consorzio di bonifica Bacchiglione</v>
      </c>
      <c r="I1904" t="str">
        <f>"92223390284"</f>
        <v>92223390284</v>
      </c>
      <c r="J1904" t="str">
        <f>"23-AFFIDAMENTO DIRETTO"</f>
        <v>23-AFFIDAMENTO DIRETTO</v>
      </c>
      <c r="K1904" t="str">
        <f>"31/08/2021"</f>
        <v>31/08/2021</v>
      </c>
      <c r="L1904" t="str">
        <f>"05/10/2021"</f>
        <v>05/10/2021</v>
      </c>
      <c r="M1904" t="str">
        <f>""</f>
        <v/>
      </c>
      <c r="N1904" t="str">
        <f>"Mardegan F.lli s.n.c. Via Argine Destro 13A 35020 Brenta di Correzzola PD"</f>
        <v>Mardegan F.lli s.n.c. Via Argine Destro 13A 35020 Brenta di Correzzola PD</v>
      </c>
      <c r="O1904" t="str">
        <f>"Mardegan F.lli s.n.c. Via Argine Destro 13A 35020 Brenta di Correzzola PD"</f>
        <v>Mardegan F.lli s.n.c. Via Argine Destro 13A 35020 Brenta di Correzzola PD</v>
      </c>
      <c r="P1904" t="str">
        <f>"Z6F1B05CA4: [572.31€ ]"</f>
        <v>Z6F1B05CA4: [572.31€ ]</v>
      </c>
      <c r="Q1904" t="str">
        <f>""</f>
        <v/>
      </c>
      <c r="R1904" t="str">
        <f>""</f>
        <v/>
      </c>
      <c r="S1904" t="str">
        <f>""</f>
        <v/>
      </c>
      <c r="T1904" t="str">
        <f>"https://portaletrasparenza.consorziobacchiglione.it/dettagli/attodigara/706/riparazione-e-manutenzione-mezzi-con-targa-da205yw-fb038dg.html"</f>
        <v>https://portaletrasparenza.consorziobacchiglione.it/dettagli/attodigara/706/riparazione-e-manutenzione-mezzi-con-targa-da205yw-fb038dg.html</v>
      </c>
      <c r="U1904" t="str">
        <f>""</f>
        <v/>
      </c>
      <c r="V1904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05" spans="1:22" x14ac:dyDescent="0.3">
      <c r="A1905" t="str">
        <f>"Affidamento"</f>
        <v>Affidamento</v>
      </c>
      <c r="B1905" t="str">
        <f>"Manutenzione riparazione e lavaggio mezzi con targa : PDAF496, AGK711, PDAF480, PDAH521, Motobarca n 4, n 5."</f>
        <v>Manutenzione riparazione e lavaggio mezzi con targa : PDAF496, AGK711, PDAF480, PDAH521, Motobarca n 4, n 5.</v>
      </c>
      <c r="C1905" t="str">
        <f>"Z6B1B05A95"</f>
        <v>Z6B1B05A95</v>
      </c>
      <c r="D1905" t="str">
        <f>"04/11/2021"</f>
        <v>04/11/2021</v>
      </c>
      <c r="E1905" t="str">
        <f>""</f>
        <v/>
      </c>
      <c r="F1905" t="str">
        <f>""</f>
        <v/>
      </c>
      <c r="G1905" t="str">
        <f>"5044.31"</f>
        <v>5044.31</v>
      </c>
      <c r="H1905" t="str">
        <f>"Consorzio di bonifica Bacchiglione"</f>
        <v>Consorzio di bonifica Bacchiglione</v>
      </c>
      <c r="I1905" t="str">
        <f>"92223390284"</f>
        <v>92223390284</v>
      </c>
      <c r="J1905" t="str">
        <f>"23-AFFIDAMENTO DIRETTO"</f>
        <v>23-AFFIDAMENTO DIRETTO</v>
      </c>
      <c r="K1905" t="str">
        <f>"31/08/2021"</f>
        <v>31/08/2021</v>
      </c>
      <c r="L1905" t="str">
        <f>"27/10/2021"</f>
        <v>27/10/2021</v>
      </c>
      <c r="M1905" t="str">
        <f>""</f>
        <v/>
      </c>
      <c r="N1905" t="str">
        <f>"Officina Biesse S.n.c. Via Matteotti 24 35020 Arzergrande PD"</f>
        <v>Officina Biesse S.n.c. Via Matteotti 24 35020 Arzergrande PD</v>
      </c>
      <c r="O1905" t="str">
        <f>"Officina Biesse S.n.c. Via Matteotti 24 35020 Arzergrande PD"</f>
        <v>Officina Biesse S.n.c. Via Matteotti 24 35020 Arzergrande PD</v>
      </c>
      <c r="P1905" t="str">
        <f>"Z6B1B05A95: [5044.31€ ]"</f>
        <v>Z6B1B05A95: [5044.31€ ]</v>
      </c>
      <c r="Q1905" t="str">
        <f>""</f>
        <v/>
      </c>
      <c r="R1905" t="str">
        <f>""</f>
        <v/>
      </c>
      <c r="S1905" t="str">
        <f>""</f>
        <v/>
      </c>
      <c r="T1905" t="str">
        <f>"https://portaletrasparenza.consorziobacchiglione.it/dettagli/attodigara/705/manutenzione-riparazione-e-lavaggio-mezzi-con-targa-pdaf496-agk711-pdaf480-pdah521-motobarca-n-4-n-5.html"</f>
        <v>https://portaletrasparenza.consorziobacchiglione.it/dettagli/attodigara/705/manutenzione-riparazione-e-lavaggio-mezzi-con-targa-pdaf496-agk711-pdaf480-pdah521-motobarca-n-4-n-5.html</v>
      </c>
      <c r="U1905" t="str">
        <f>""</f>
        <v/>
      </c>
      <c r="V1905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06" spans="1:22" x14ac:dyDescent="0.3">
      <c r="A1906" t="str">
        <f>"Affidamento"</f>
        <v>Affidamento</v>
      </c>
      <c r="B1906" t="str">
        <f>"Manutenzione e riparazione sgrigliatore Idrovora Cambroso e Trezze."</f>
        <v>Manutenzione e riparazione sgrigliatore Idrovora Cambroso e Trezze.</v>
      </c>
      <c r="C1906" t="str">
        <f>"Z9A1B0588B"</f>
        <v>Z9A1B0588B</v>
      </c>
      <c r="D1906" t="str">
        <f>"04/11/2021"</f>
        <v>04/11/2021</v>
      </c>
      <c r="E1906" t="str">
        <f>""</f>
        <v/>
      </c>
      <c r="F1906" t="str">
        <f>""</f>
        <v/>
      </c>
      <c r="G1906" t="str">
        <f>"906.00"</f>
        <v>906.00</v>
      </c>
      <c r="H1906" t="str">
        <f>"Consorzio di bonifica Bacchiglione"</f>
        <v>Consorzio di bonifica Bacchiglione</v>
      </c>
      <c r="I1906" t="str">
        <f>"92223390284"</f>
        <v>92223390284</v>
      </c>
      <c r="J1906" t="str">
        <f>"23-AFFIDAMENTO DIRETTO"</f>
        <v>23-AFFIDAMENTO DIRETTO</v>
      </c>
      <c r="K1906" t="str">
        <f>"31/08/2021"</f>
        <v>31/08/2021</v>
      </c>
      <c r="L1906" t="str">
        <f>"27/10/2021"</f>
        <v>27/10/2021</v>
      </c>
      <c r="M1906" t="str">
        <f>""</f>
        <v/>
      </c>
      <c r="N1906" t="str">
        <f>"Officina Biesse S.n.c. Via Matteotti 24 35020 Arzergrande PD"</f>
        <v>Officina Biesse S.n.c. Via Matteotti 24 35020 Arzergrande PD</v>
      </c>
      <c r="O1906" t="str">
        <f>"Officina Biesse S.n.c. Via Matteotti 24 35020 Arzergrande PD"</f>
        <v>Officina Biesse S.n.c. Via Matteotti 24 35020 Arzergrande PD</v>
      </c>
      <c r="P1906" t="str">
        <f>"Z9A1B0588B: [906.00€ ]"</f>
        <v>Z9A1B0588B: [906.00€ ]</v>
      </c>
      <c r="Q1906" t="str">
        <f>""</f>
        <v/>
      </c>
      <c r="R1906" t="str">
        <f>""</f>
        <v/>
      </c>
      <c r="S1906" t="str">
        <f>""</f>
        <v/>
      </c>
      <c r="T1906" t="str">
        <f>"https://portaletrasparenza.consorziobacchiglione.it/dettagli/attodigara/704/manutenzione-e-riparazione-sgrigliatore-idrovora-cambroso-e-trezze.html"</f>
        <v>https://portaletrasparenza.consorziobacchiglione.it/dettagli/attodigara/704/manutenzione-e-riparazione-sgrigliatore-idrovora-cambroso-e-trezze.html</v>
      </c>
      <c r="U1906" t="str">
        <f>""</f>
        <v/>
      </c>
      <c r="V1906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07" spans="1:22" x14ac:dyDescent="0.3">
      <c r="A1907" t="str">
        <f>"Affidamento"</f>
        <v>Affidamento</v>
      </c>
      <c r="B1907" t="str">
        <f>"Manutenzione riparazione e lavaggio mezzi con targa: DA202YW, PDAH662, Motobarca n1, n2, n 4, n 6."</f>
        <v>Manutenzione riparazione e lavaggio mezzi con targa: DA202YW, PDAH662, Motobarca n1, n2, n 4, n 6.</v>
      </c>
      <c r="C1907" t="str">
        <f>"Z901B057CF"</f>
        <v>Z901B057CF</v>
      </c>
      <c r="D1907" t="str">
        <f>"04/11/2021"</f>
        <v>04/11/2021</v>
      </c>
      <c r="E1907" t="str">
        <f>""</f>
        <v/>
      </c>
      <c r="F1907" t="str">
        <f>""</f>
        <v/>
      </c>
      <c r="G1907" t="str">
        <f>"2268.00"</f>
        <v>2268.00</v>
      </c>
      <c r="H1907" t="str">
        <f>"Consorzio di bonifica Bacchiglione"</f>
        <v>Consorzio di bonifica Bacchiglione</v>
      </c>
      <c r="I1907" t="str">
        <f>"92223390284"</f>
        <v>92223390284</v>
      </c>
      <c r="J1907" t="str">
        <f>"23-AFFIDAMENTO DIRETTO"</f>
        <v>23-AFFIDAMENTO DIRETTO</v>
      </c>
      <c r="K1907" t="str">
        <f>"31/08/2021"</f>
        <v>31/08/2021</v>
      </c>
      <c r="L1907" t="str">
        <f>"27/10/2021"</f>
        <v>27/10/2021</v>
      </c>
      <c r="M1907" t="str">
        <f>""</f>
        <v/>
      </c>
      <c r="N1907" t="str">
        <f>"Officina Biesse S.n.c. Via Matteotti 24 35020 Arzergrande PD"</f>
        <v>Officina Biesse S.n.c. Via Matteotti 24 35020 Arzergrande PD</v>
      </c>
      <c r="O1907" t="str">
        <f>"Officina Biesse S.n.c. Via Matteotti 24 35020 Arzergrande PD"</f>
        <v>Officina Biesse S.n.c. Via Matteotti 24 35020 Arzergrande PD</v>
      </c>
      <c r="P1907" t="str">
        <f>"Z901B057CF: [2268.00€ ]"</f>
        <v>Z901B057CF: [2268.00€ ]</v>
      </c>
      <c r="Q1907" t="str">
        <f>""</f>
        <v/>
      </c>
      <c r="R1907" t="str">
        <f>""</f>
        <v/>
      </c>
      <c r="S1907" t="str">
        <f>""</f>
        <v/>
      </c>
      <c r="T1907" t="str">
        <f>"https://portaletrasparenza.consorziobacchiglione.it/dettagli/attodigara/703/manutenzione-riparazione-e-lavaggio-mezzi-con-targa-da202yw-pdah662-motobarca-n1-n2-n-4-n-6.html"</f>
        <v>https://portaletrasparenza.consorziobacchiglione.it/dettagli/attodigara/703/manutenzione-riparazione-e-lavaggio-mezzi-con-targa-da202yw-pdah662-motobarca-n1-n2-n-4-n-6.html</v>
      </c>
      <c r="U1907" t="str">
        <f>""</f>
        <v/>
      </c>
      <c r="V1907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08" spans="1:22" x14ac:dyDescent="0.3">
      <c r="A1908" t="str">
        <f>"Affidamento"</f>
        <v>Affidamento</v>
      </c>
      <c r="B1908" t="str">
        <f>"Riparazione martinetto rotazione benne su mezzo con targa: AKA712."</f>
        <v>Riparazione martinetto rotazione benne su mezzo con targa: AKA712.</v>
      </c>
      <c r="C1908" t="str">
        <f>"Z0D1B09591"</f>
        <v>Z0D1B09591</v>
      </c>
      <c r="D1908" t="str">
        <f>"04/11/2021"</f>
        <v>04/11/2021</v>
      </c>
      <c r="E1908" t="str">
        <f>""</f>
        <v/>
      </c>
      <c r="F1908" t="str">
        <f>""</f>
        <v/>
      </c>
      <c r="G1908" t="str">
        <f>"100.00"</f>
        <v>100.00</v>
      </c>
      <c r="H1908" t="str">
        <f>"Consorzio di bonifica Bacchiglione"</f>
        <v>Consorzio di bonifica Bacchiglione</v>
      </c>
      <c r="I1908" t="str">
        <f>"92223390284"</f>
        <v>92223390284</v>
      </c>
      <c r="J1908" t="str">
        <f>"23-AFFIDAMENTO DIRETTO"</f>
        <v>23-AFFIDAMENTO DIRETTO</v>
      </c>
      <c r="K1908" t="str">
        <f>"31/08/2021"</f>
        <v>31/08/2021</v>
      </c>
      <c r="L1908" t="str">
        <f>"27/10/2021"</f>
        <v>27/10/2021</v>
      </c>
      <c r="M1908" t="str">
        <f>""</f>
        <v/>
      </c>
      <c r="N1908" t="str">
        <f>"ZEMI s.a.s. di Zanotto Enzo di Ruzzante Dorina Via E. Mattei 7 35020 Due Carrare PD"</f>
        <v>ZEMI s.a.s. di Zanotto Enzo di Ruzzante Dorina Via E. Mattei 7 35020 Due Carrare PD</v>
      </c>
      <c r="O1908" t="str">
        <f>"ZEMI s.a.s. di Zanotto Enzo di Ruzzante Dorina Via E. Mattei 7 35020 Due Carrare PD"</f>
        <v>ZEMI s.a.s. di Zanotto Enzo di Ruzzante Dorina Via E. Mattei 7 35020 Due Carrare PD</v>
      </c>
      <c r="P1908" t="str">
        <f>"Z0D1B09591: [100.00€ ]"</f>
        <v>Z0D1B09591: [100.00€ ]</v>
      </c>
      <c r="Q1908" t="str">
        <f>""</f>
        <v/>
      </c>
      <c r="R1908" t="str">
        <f>""</f>
        <v/>
      </c>
      <c r="S1908" t="str">
        <f>""</f>
        <v/>
      </c>
      <c r="T1908" t="str">
        <f>"https://portaletrasparenza.consorziobacchiglione.it/dettagli/attodigara/702/riparazione-martinetto-rotazione-benne-su-mezzo-con-targa-aka712.html"</f>
        <v>https://portaletrasparenza.consorziobacchiglione.it/dettagli/attodigara/702/riparazione-martinetto-rotazione-benne-su-mezzo-con-targa-aka712.html</v>
      </c>
      <c r="U1908" t="str">
        <f>""</f>
        <v/>
      </c>
      <c r="V1908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09" spans="1:22" x14ac:dyDescent="0.3">
      <c r="A1909" t="str">
        <f>"Affidamento"</f>
        <v>Affidamento</v>
      </c>
      <c r="B1909" t="str">
        <f>"Sostituzione lame su benna Herder su escavatore con targa: AKA712"</f>
        <v>Sostituzione lame su benna Herder su escavatore con targa: AKA712</v>
      </c>
      <c r="C1909" t="str">
        <f>"Z641B05D99"</f>
        <v>Z641B05D99</v>
      </c>
      <c r="D1909" t="str">
        <f>"04/11/2021"</f>
        <v>04/11/2021</v>
      </c>
      <c r="E1909" t="str">
        <f>""</f>
        <v/>
      </c>
      <c r="F1909" t="str">
        <f>""</f>
        <v/>
      </c>
      <c r="G1909" t="str">
        <f>"763.93"</f>
        <v>763.93</v>
      </c>
      <c r="H1909" t="str">
        <f>"Consorzio di bonifica Bacchiglione"</f>
        <v>Consorzio di bonifica Bacchiglione</v>
      </c>
      <c r="I1909" t="str">
        <f>"92223390284"</f>
        <v>92223390284</v>
      </c>
      <c r="J1909" t="str">
        <f>"23-AFFIDAMENTO DIRETTO"</f>
        <v>23-AFFIDAMENTO DIRETTO</v>
      </c>
      <c r="K1909" t="str">
        <f>"31/08/2021"</f>
        <v>31/08/2021</v>
      </c>
      <c r="L1909" t="str">
        <f>"31/12/2021"</f>
        <v>31/12/2021</v>
      </c>
      <c r="M1909" t="str">
        <f>""</f>
        <v/>
      </c>
      <c r="N1909" t="str">
        <f>"Adriatica Commerciale Macchine s.r.l. Via dell'Artigianato 5 35020 Due Carrare PD"</f>
        <v>Adriatica Commerciale Macchine s.r.l. Via dell'Artigianato 5 35020 Due Carrare PD</v>
      </c>
      <c r="O1909" t="str">
        <f>"Adriatica Commerciale Macchine s.r.l. Via dell'Artigianato 5 35020 Due Carrare PD"</f>
        <v>Adriatica Commerciale Macchine s.r.l. Via dell'Artigianato 5 35020 Due Carrare PD</v>
      </c>
      <c r="P1909" t="str">
        <f>"Z641B05D99: [0.00€ ]"</f>
        <v>Z641B05D99: [0.00€ ]</v>
      </c>
      <c r="Q1909" t="str">
        <f>""</f>
        <v/>
      </c>
      <c r="R1909" t="str">
        <f>""</f>
        <v/>
      </c>
      <c r="S1909" t="str">
        <f>""</f>
        <v/>
      </c>
      <c r="T1909" t="str">
        <f>"https://portaletrasparenza.consorziobacchiglione.it/dettagli/attodigara/707/sostituzione-lame-su-benna-herder-su-escavatore-con-targa-aka712.html"</f>
        <v>https://portaletrasparenza.consorziobacchiglione.it/dettagli/attodigara/707/sostituzione-lame-su-benna-herder-su-escavatore-con-targa-aka712.html</v>
      </c>
      <c r="U1909" t="str">
        <f>""</f>
        <v/>
      </c>
      <c r="V1909">
        <f>(SUBSTITUTE(Tabella1[[#This Row],[Importo di aggiudicazione]],".",","))-(SUBSTITUTE(  SUBSTITUTE(          SUBSTITUTE(Tabella1[[#This Row],[Dettaglio somme liquidate]],Tabella1[[#This Row],[CIG]]&amp;": [",""),"€ ]",""),".",","))</f>
        <v>763.93</v>
      </c>
    </row>
    <row r="1910" spans="1:22" x14ac:dyDescent="0.3">
      <c r="A1910" t="str">
        <f>"Affidamento"</f>
        <v>Affidamento</v>
      </c>
      <c r="B1910" t="str">
        <f>"Fornitura n.1 fustone da 1000 litri di Urea per mezzi presso Bacino Sesta Presa"</f>
        <v>Fornitura n.1 fustone da 1000 litri di Urea per mezzi presso Bacino Sesta Presa</v>
      </c>
      <c r="C1910" t="str">
        <f>"ZE632E2372"</f>
        <v>ZE632E2372</v>
      </c>
      <c r="D1910" t="str">
        <f>"03/09/2021"</f>
        <v>03/09/2021</v>
      </c>
      <c r="E1910" t="str">
        <f>""</f>
        <v/>
      </c>
      <c r="F1910" t="str">
        <f>""</f>
        <v/>
      </c>
      <c r="G1910" t="str">
        <f>"500.00"</f>
        <v>500.00</v>
      </c>
      <c r="H1910" t="str">
        <f>"Consorzio di bonifica Bacchiglione"</f>
        <v>Consorzio di bonifica Bacchiglione</v>
      </c>
      <c r="I1910" t="str">
        <f>"92223390284"</f>
        <v>92223390284</v>
      </c>
      <c r="J1910" t="str">
        <f>"23-AFFIDAMENTO DIRETTO"</f>
        <v>23-AFFIDAMENTO DIRETTO</v>
      </c>
      <c r="K1910" t="str">
        <f>"31/08/2021"</f>
        <v>31/08/2021</v>
      </c>
      <c r="L1910" t="str">
        <f>"30/09/2021"</f>
        <v>30/09/2021</v>
      </c>
      <c r="M1910" t="str">
        <f>""</f>
        <v/>
      </c>
      <c r="N1910" t="str">
        <f>"Consorzio Agrario del Nordest Via Francia 2 37135 Verona"</f>
        <v>Consorzio Agrario del Nordest Via Francia 2 37135 Verona</v>
      </c>
      <c r="O1910" t="str">
        <f>"Consorzio Agrario del Nordest Via Francia 2 37135 Verona"</f>
        <v>Consorzio Agrario del Nordest Via Francia 2 37135 Verona</v>
      </c>
      <c r="P1910" t="s">
        <v>267</v>
      </c>
      <c r="Q1910" t="str">
        <f>""</f>
        <v/>
      </c>
      <c r="R1910" t="str">
        <f>""</f>
        <v/>
      </c>
      <c r="S1910" t="str">
        <f>""</f>
        <v/>
      </c>
      <c r="T1910" t="str">
        <f>"https://portaletrasparenza.consorziobacchiglione.it/dettagli/attodigara/7093/fornitura-n-1-fustone-da-1000-litri-di-urea-per-mezzi-presso-bacino-sesta-presa.html"</f>
        <v>https://portaletrasparenza.consorziobacchiglione.it/dettagli/attodigara/7093/fornitura-n-1-fustone-da-1000-litri-di-urea-per-mezzi-presso-bacino-sesta-presa.html</v>
      </c>
      <c r="U1910" t="str">
        <f>"https://portaletrasparenza.consorziobacchiglione.it/download/attodigara/7093/63ac45bbacacf.PDF"</f>
        <v>https://portaletrasparenza.consorziobacchiglione.it/download/attodigara/7093/63ac45bbacacf.PDF</v>
      </c>
      <c r="V1910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11" spans="1:22" x14ac:dyDescent="0.3">
      <c r="A1911" t="str">
        <f>"Affidamento"</f>
        <v>Affidamento</v>
      </c>
      <c r="B1911" t="str">
        <f>"Manutenzione e riparazione mezzi con targa: AKS681, AKV813, motobarca n.2, n.8, n.5"</f>
        <v>Manutenzione e riparazione mezzi con targa: AKS681, AKV813, motobarca n.2, n.8, n.5</v>
      </c>
      <c r="C1911" t="str">
        <f>"Z0232E24BE"</f>
        <v>Z0232E24BE</v>
      </c>
      <c r="D1911" t="str">
        <f>"03/09/2021"</f>
        <v>03/09/2021</v>
      </c>
      <c r="E1911" t="str">
        <f>""</f>
        <v/>
      </c>
      <c r="F1911" t="str">
        <f>""</f>
        <v/>
      </c>
      <c r="G1911" t="str">
        <f>"8254.39"</f>
        <v>8254.39</v>
      </c>
      <c r="H1911" t="str">
        <f>"Consorzio di bonifica Bacchiglione"</f>
        <v>Consorzio di bonifica Bacchiglione</v>
      </c>
      <c r="I1911" t="str">
        <f>"92223390284"</f>
        <v>92223390284</v>
      </c>
      <c r="J1911" t="str">
        <f>"23-AFFIDAMENTO DIRETTO"</f>
        <v>23-AFFIDAMENTO DIRETTO</v>
      </c>
      <c r="K1911" t="str">
        <f>"31/08/2021"</f>
        <v>31/08/2021</v>
      </c>
      <c r="L1911" t="str">
        <f>"20/09/2021"</f>
        <v>20/09/2021</v>
      </c>
      <c r="M1911" t="str">
        <f>""</f>
        <v/>
      </c>
      <c r="N1911" t="str">
        <f>"Officina Biesse S.n.c. Via Matteotti 24 35020 Arzergrande PD"</f>
        <v>Officina Biesse S.n.c. Via Matteotti 24 35020 Arzergrande PD</v>
      </c>
      <c r="O1911" t="str">
        <f>"Officina Biesse S.n.c. Via Matteotti 24 35020 Arzergrande PD"</f>
        <v>Officina Biesse S.n.c. Via Matteotti 24 35020 Arzergrande PD</v>
      </c>
      <c r="P1911" t="str">
        <f>"Z0232E24BE: [8254.39€ ]"</f>
        <v>Z0232E24BE: [8254.39€ ]</v>
      </c>
      <c r="Q1911" t="str">
        <f>""</f>
        <v/>
      </c>
      <c r="R1911" t="str">
        <f>""</f>
        <v/>
      </c>
      <c r="S1911" t="str">
        <f>""</f>
        <v/>
      </c>
      <c r="T1911" t="str">
        <f>"https://portaletrasparenza.consorziobacchiglione.it/dettagli/attodigara/7094/manutenzione-e-riparazione-mezzi-con-targa-aks681-akv813-motobarca-n-2-n-8-n-5.html"</f>
        <v>https://portaletrasparenza.consorziobacchiglione.it/dettagli/attodigara/7094/manutenzione-e-riparazione-mezzi-con-targa-aks681-akv813-motobarca-n-2-n-8-n-5.html</v>
      </c>
      <c r="U1911" t="str">
        <f>"https://portaletrasparenza.consorziobacchiglione.it/download/attodigara/7094/63ac45bbe5576.PDF"</f>
        <v>https://portaletrasparenza.consorziobacchiglione.it/download/attodigara/7094/63ac45bbe5576.PDF</v>
      </c>
      <c r="V1911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12" spans="1:22" x14ac:dyDescent="0.3">
      <c r="A1912" t="str">
        <f>"Affidamento"</f>
        <v>Affidamento</v>
      </c>
      <c r="B1912" t="str">
        <f>"Corso di formazione diritto degli enti locali - diritto amministrativo e contabilità pubblica"</f>
        <v>Corso di formazione diritto degli enti locali - diritto amministrativo e contabilità pubblica</v>
      </c>
      <c r="C1912" t="str">
        <f>"Z7632DF592"</f>
        <v>Z7632DF592</v>
      </c>
      <c r="D1912" t="str">
        <f>"31/08/2021"</f>
        <v>31/08/2021</v>
      </c>
      <c r="E1912" t="str">
        <f>""</f>
        <v/>
      </c>
      <c r="F1912" t="str">
        <f>""</f>
        <v/>
      </c>
      <c r="G1912" t="str">
        <f>"516.00"</f>
        <v>516.00</v>
      </c>
      <c r="H1912" t="str">
        <f>"Consorzio di bonifica Bacchiglione"</f>
        <v>Consorzio di bonifica Bacchiglione</v>
      </c>
      <c r="I1912" t="str">
        <f>"92223390284"</f>
        <v>92223390284</v>
      </c>
      <c r="J1912" t="str">
        <f>"23-AFFIDAMENTO DIRETTO"</f>
        <v>23-AFFIDAMENTO DIRETTO</v>
      </c>
      <c r="K1912" t="str">
        <f>"31/08/2021"</f>
        <v>31/08/2021</v>
      </c>
      <c r="L1912" t="str">
        <f>"21/10/2021"</f>
        <v>21/10/2021</v>
      </c>
      <c r="M1912" t="str">
        <f>""</f>
        <v/>
      </c>
      <c r="N1912" t="str">
        <f>"UNIVERSITA' DEGLI STUDI DI VERONA"</f>
        <v>UNIVERSITA' DEGLI STUDI DI VERONA</v>
      </c>
      <c r="O1912" t="str">
        <f>"UNIVERSITA' DEGLI STUDI DI VERONA"</f>
        <v>UNIVERSITA' DEGLI STUDI DI VERONA</v>
      </c>
      <c r="P1912" t="str">
        <f>"Z7632DF592: [516.00€ ]"</f>
        <v>Z7632DF592: [516.00€ ]</v>
      </c>
      <c r="Q1912" t="str">
        <f>""</f>
        <v/>
      </c>
      <c r="R1912" t="str">
        <f>""</f>
        <v/>
      </c>
      <c r="S1912" t="str">
        <f>""</f>
        <v/>
      </c>
      <c r="T1912" t="str">
        <f>"https://portaletrasparenza.consorziobacchiglione.it/dettagli/attodigara/7092/corso-di-formazione-diritto-degli-enti-locali-diritto-amministrativo-e-contabilita-pubblica.html"</f>
        <v>https://portaletrasparenza.consorziobacchiglione.it/dettagli/attodigara/7092/corso-di-formazione-diritto-degli-enti-locali-diritto-amministrativo-e-contabilita-pubblica.html</v>
      </c>
      <c r="U1912" t="str">
        <f>"https://portaletrasparenza.consorziobacchiglione.it/download/attodigara/7092/63ac45ba4c31a.PDF"</f>
        <v>https://portaletrasparenza.consorziobacchiglione.it/download/attodigara/7092/63ac45ba4c31a.PDF</v>
      </c>
      <c r="V1912">
        <f>(SUBSTITUTE(Tabella1[[#This Row],[Importo di aggiudicazione]],".",","))-(SUBSTITUTE(  SUBSTITUTE(          SUBSTITUTE(Tabella1[[#This Row],[Dettaglio somme liquidate]],Tabella1[[#This Row],[CIG]]&amp;": [",""),"€ ]",""),".",","))</f>
        <v>0</v>
      </c>
    </row>
    <row r="1913" spans="1:22" x14ac:dyDescent="0.3">
      <c r="A1913" t="str">
        <f>"Affidamento"</f>
        <v>Affidamento</v>
      </c>
      <c r="B1913" t="str">
        <f>"Affidamento servizi attinenti ai software di gestione del personale. Attivazione servizio e canone di manutenzione anno 2017."</f>
        <v>Affidamento servizi attinenti ai software di gestione del personale. Attivazione servizio e canone di manutenzione anno 2017.</v>
      </c>
      <c r="C1913" t="str">
        <f>"Z8D1BD0941"</f>
        <v>Z8D1BD0941</v>
      </c>
      <c r="D1913" t="str">
        <f>"04/11/2021"</f>
        <v>04/11/2021</v>
      </c>
      <c r="E1913" t="str">
        <f>""</f>
        <v/>
      </c>
      <c r="F1913" t="str">
        <f>""</f>
        <v/>
      </c>
      <c r="G1913" t="str">
        <f>"8415.00"</f>
        <v>8415.00</v>
      </c>
      <c r="H1913" t="str">
        <f>"Consorzio di bonifica Bacchiglione"</f>
        <v>Consorzio di bonifica Bacchiglione</v>
      </c>
      <c r="I1913" t="str">
        <f>"92223390284"</f>
        <v>92223390284</v>
      </c>
      <c r="J1913" t="str">
        <f>"23-AFFIDAMENTO DIRETTO"</f>
        <v>23-AFFIDAMENTO DIRETTO</v>
      </c>
      <c r="K1913" t="str">
        <f>"31/10/2021"</f>
        <v>31/10/2021</v>
      </c>
      <c r="L1913" t="str">
        <f>"31/12/2021"</f>
        <v>31/12/2021</v>
      </c>
      <c r="M1913" t="str">
        <f>""</f>
        <v/>
      </c>
      <c r="N1913" t="str">
        <f>"HUNEXT SOFTWARE S.R.L."</f>
        <v>HUNEXT SOFTWARE S.R.L.</v>
      </c>
      <c r="O1913" t="str">
        <f>"HUNEXT SOFTWARE S.R.L."</f>
        <v>HUNEXT SOFTWARE S.R.L.</v>
      </c>
      <c r="P1913" t="str">
        <f>"Z8D1BD0941: [8078.04€ ]"</f>
        <v>Z8D1BD0941: [8078.04€ ]</v>
      </c>
      <c r="Q1913" t="str">
        <f>""</f>
        <v/>
      </c>
      <c r="R1913" t="str">
        <f>""</f>
        <v/>
      </c>
      <c r="S1913" t="str">
        <f>""</f>
        <v/>
      </c>
      <c r="T1913" t="str">
        <f>"https://portaletrasparenza.consorziobacchiglione.it/dettagli/attodigara/865/affidamento-servizi-attinenti-ai-software-di-gestione-del-personale-attivazione-servizio-e-canone-di-manutenzione-anno-2017.html"</f>
        <v>https://portaletrasparenza.consorziobacchiglione.it/dettagli/attodigara/865/affidamento-servizi-attinenti-ai-software-di-gestione-del-personale-attivazione-servizio-e-canone-di-manutenzione-anno-2017.html</v>
      </c>
      <c r="U1913" t="str">
        <f>""</f>
        <v/>
      </c>
      <c r="V1913">
        <f>(SUBSTITUTE(Tabella1[[#This Row],[Importo di aggiudicazione]],".",","))-(SUBSTITUTE(  SUBSTITUTE(          SUBSTITUTE(Tabella1[[#This Row],[Dettaglio somme liquidate]],Tabella1[[#This Row],[CIG]]&amp;": [",""),"€ ]",""),".",","))</f>
        <v>336.96000000000004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attodigara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Michele Zelandi</cp:lastModifiedBy>
  <dcterms:created xsi:type="dcterms:W3CDTF">2023-11-27T11:31:18Z</dcterms:created>
  <dcterms:modified xsi:type="dcterms:W3CDTF">2023-11-27T11:41:47Z</dcterms:modified>
</cp:coreProperties>
</file>